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eca\Desktop\výběrko střecha B2\final\"/>
    </mc:Choice>
  </mc:AlternateContent>
  <xr:revisionPtr revIDLastSave="0" documentId="13_ncr:1_{F3C178F3-C0CC-48D3-8CB2-4DC06613C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ycí list rozpočtu" sheetId="3" r:id="rId1"/>
    <sheet name="Stavební rozpočet - součet" sheetId="2" r:id="rId2"/>
    <sheet name="Stavební rozpočet" sheetId="1" r:id="rId3"/>
    <sheet name="VORN" sheetId="4" state="hidden" r:id="rId4"/>
  </sheets>
  <definedNames>
    <definedName name="vorn_sum">VORN!$I$45</definedName>
  </definedNames>
  <calcPr calcId="181029"/>
</workbook>
</file>

<file path=xl/calcChain.xml><?xml version="1.0" encoding="utf-8"?>
<calcChain xmlns="http://schemas.openxmlformats.org/spreadsheetml/2006/main">
  <c r="F44" i="4" l="1"/>
  <c r="I44" i="4" s="1"/>
  <c r="F43" i="4"/>
  <c r="I43" i="4" s="1"/>
  <c r="F42" i="4"/>
  <c r="I42" i="4" s="1"/>
  <c r="I41" i="4"/>
  <c r="F41" i="4"/>
  <c r="F40" i="4"/>
  <c r="I40" i="4" s="1"/>
  <c r="I39" i="4"/>
  <c r="F39" i="4"/>
  <c r="F38" i="4"/>
  <c r="I38" i="4" s="1"/>
  <c r="F36" i="4"/>
  <c r="I36" i="4" s="1"/>
  <c r="I35" i="4"/>
  <c r="F35" i="4"/>
  <c r="I26" i="4"/>
  <c r="I19" i="3" s="1"/>
  <c r="I25" i="4"/>
  <c r="I24" i="4"/>
  <c r="I17" i="3" s="1"/>
  <c r="I23" i="4"/>
  <c r="I22" i="4"/>
  <c r="I21" i="4"/>
  <c r="I14" i="3" s="1"/>
  <c r="I17" i="4"/>
  <c r="F16" i="3" s="1"/>
  <c r="I16" i="4"/>
  <c r="F15" i="3" s="1"/>
  <c r="I15" i="4"/>
  <c r="I10" i="4"/>
  <c r="F10" i="4"/>
  <c r="C10" i="4"/>
  <c r="F8" i="4"/>
  <c r="C8" i="4"/>
  <c r="F6" i="4"/>
  <c r="C6" i="4"/>
  <c r="F4" i="4"/>
  <c r="C4" i="4"/>
  <c r="F2" i="4"/>
  <c r="C2" i="4"/>
  <c r="I18" i="3"/>
  <c r="I16" i="3"/>
  <c r="I15" i="3"/>
  <c r="F14" i="3"/>
  <c r="F10" i="3"/>
  <c r="C10" i="3"/>
  <c r="F8" i="3"/>
  <c r="F6" i="3"/>
  <c r="C6" i="3"/>
  <c r="F4" i="3"/>
  <c r="C4" i="3"/>
  <c r="F2" i="3"/>
  <c r="C2" i="3"/>
  <c r="I26" i="2"/>
  <c r="C8" i="2"/>
  <c r="G6" i="2"/>
  <c r="C6" i="2"/>
  <c r="G4" i="2"/>
  <c r="C4" i="2"/>
  <c r="G2" i="2"/>
  <c r="C2" i="2"/>
  <c r="BO88" i="1"/>
  <c r="BJ88" i="1"/>
  <c r="BI88" i="1"/>
  <c r="BF88" i="1"/>
  <c r="BD88" i="1"/>
  <c r="AP88" i="1"/>
  <c r="AO88" i="1"/>
  <c r="BH88" i="1" s="1"/>
  <c r="AL88" i="1"/>
  <c r="AJ88" i="1"/>
  <c r="AH88" i="1"/>
  <c r="AG88" i="1"/>
  <c r="AF88" i="1"/>
  <c r="AE88" i="1"/>
  <c r="AD88" i="1"/>
  <c r="AC88" i="1"/>
  <c r="AB88" i="1"/>
  <c r="Z88" i="1"/>
  <c r="J88" i="1"/>
  <c r="AK88" i="1" s="1"/>
  <c r="H88" i="1"/>
  <c r="BO87" i="1"/>
  <c r="BJ87" i="1"/>
  <c r="BF87" i="1"/>
  <c r="BD87" i="1"/>
  <c r="AP87" i="1"/>
  <c r="BI87" i="1" s="1"/>
  <c r="AO87" i="1"/>
  <c r="H87" i="1" s="1"/>
  <c r="AL87" i="1"/>
  <c r="AJ87" i="1"/>
  <c r="AH87" i="1"/>
  <c r="AG87" i="1"/>
  <c r="AF87" i="1"/>
  <c r="AE87" i="1"/>
  <c r="AD87" i="1"/>
  <c r="AC87" i="1"/>
  <c r="AB87" i="1"/>
  <c r="Z87" i="1"/>
  <c r="J87" i="1"/>
  <c r="AK87" i="1" s="1"/>
  <c r="BO86" i="1"/>
  <c r="BJ86" i="1"/>
  <c r="BI86" i="1"/>
  <c r="BF86" i="1"/>
  <c r="BD86" i="1"/>
  <c r="AP86" i="1"/>
  <c r="AO86" i="1"/>
  <c r="BH86" i="1" s="1"/>
  <c r="AL86" i="1"/>
  <c r="AJ86" i="1"/>
  <c r="AH86" i="1"/>
  <c r="AG86" i="1"/>
  <c r="AF86" i="1"/>
  <c r="AE86" i="1"/>
  <c r="AD86" i="1"/>
  <c r="AC86" i="1"/>
  <c r="AB86" i="1"/>
  <c r="Z86" i="1"/>
  <c r="J86" i="1"/>
  <c r="AK86" i="1" s="1"/>
  <c r="BO85" i="1"/>
  <c r="F37" i="4" s="1"/>
  <c r="I37" i="4" s="1"/>
  <c r="BJ85" i="1"/>
  <c r="BF85" i="1"/>
  <c r="BD85" i="1"/>
  <c r="AX85" i="1"/>
  <c r="AP85" i="1"/>
  <c r="BI85" i="1" s="1"/>
  <c r="AO85" i="1"/>
  <c r="AL85" i="1"/>
  <c r="AU84" i="1" s="1"/>
  <c r="AJ85" i="1"/>
  <c r="AH85" i="1"/>
  <c r="AG85" i="1"/>
  <c r="AF85" i="1"/>
  <c r="AE85" i="1"/>
  <c r="AD85" i="1"/>
  <c r="AC85" i="1"/>
  <c r="AB85" i="1"/>
  <c r="Z85" i="1"/>
  <c r="J85" i="1"/>
  <c r="I85" i="1"/>
  <c r="BJ82" i="1"/>
  <c r="BF82" i="1"/>
  <c r="BD82" i="1"/>
  <c r="AP82" i="1"/>
  <c r="AO82" i="1"/>
  <c r="BH82" i="1" s="1"/>
  <c r="AL82" i="1"/>
  <c r="AJ82" i="1"/>
  <c r="AH82" i="1"/>
  <c r="AG82" i="1"/>
  <c r="AF82" i="1"/>
  <c r="AE82" i="1"/>
  <c r="AD82" i="1"/>
  <c r="AC82" i="1"/>
  <c r="AB82" i="1"/>
  <c r="Z82" i="1"/>
  <c r="J82" i="1"/>
  <c r="AK82" i="1" s="1"/>
  <c r="H82" i="1"/>
  <c r="BJ81" i="1"/>
  <c r="Z81" i="1" s="1"/>
  <c r="BF81" i="1"/>
  <c r="BD81" i="1"/>
  <c r="AP81" i="1"/>
  <c r="BI81" i="1" s="1"/>
  <c r="AO81" i="1"/>
  <c r="BH81" i="1" s="1"/>
  <c r="AL81" i="1"/>
  <c r="AK81" i="1"/>
  <c r="AJ81" i="1"/>
  <c r="AH81" i="1"/>
  <c r="AG81" i="1"/>
  <c r="AF81" i="1"/>
  <c r="AE81" i="1"/>
  <c r="AD81" i="1"/>
  <c r="AC81" i="1"/>
  <c r="AB81" i="1"/>
  <c r="J81" i="1"/>
  <c r="I81" i="1"/>
  <c r="BJ80" i="1"/>
  <c r="Z80" i="1" s="1"/>
  <c r="BF80" i="1"/>
  <c r="BD80" i="1"/>
  <c r="AP80" i="1"/>
  <c r="BI80" i="1" s="1"/>
  <c r="AO80" i="1"/>
  <c r="H80" i="1" s="1"/>
  <c r="AL80" i="1"/>
  <c r="AJ80" i="1"/>
  <c r="AH80" i="1"/>
  <c r="AG80" i="1"/>
  <c r="AF80" i="1"/>
  <c r="AE80" i="1"/>
  <c r="AD80" i="1"/>
  <c r="AC80" i="1"/>
  <c r="AB80" i="1"/>
  <c r="J80" i="1"/>
  <c r="AK80" i="1" s="1"/>
  <c r="I80" i="1"/>
  <c r="BJ79" i="1"/>
  <c r="BF79" i="1"/>
  <c r="BD79" i="1"/>
  <c r="AP79" i="1"/>
  <c r="AO79" i="1"/>
  <c r="BH79" i="1" s="1"/>
  <c r="AL79" i="1"/>
  <c r="AJ79" i="1"/>
  <c r="AH79" i="1"/>
  <c r="AG79" i="1"/>
  <c r="AF79" i="1"/>
  <c r="AE79" i="1"/>
  <c r="AD79" i="1"/>
  <c r="AC79" i="1"/>
  <c r="AB79" i="1"/>
  <c r="Z79" i="1"/>
  <c r="J79" i="1"/>
  <c r="AK79" i="1" s="1"/>
  <c r="BJ78" i="1"/>
  <c r="Z78" i="1" s="1"/>
  <c r="BF78" i="1"/>
  <c r="BD78" i="1"/>
  <c r="AP78" i="1"/>
  <c r="AO78" i="1"/>
  <c r="BH78" i="1" s="1"/>
  <c r="AL78" i="1"/>
  <c r="AJ78" i="1"/>
  <c r="AH78" i="1"/>
  <c r="AG78" i="1"/>
  <c r="AF78" i="1"/>
  <c r="AE78" i="1"/>
  <c r="AD78" i="1"/>
  <c r="AC78" i="1"/>
  <c r="AB78" i="1"/>
  <c r="J78" i="1"/>
  <c r="AK78" i="1" s="1"/>
  <c r="BJ77" i="1"/>
  <c r="Z77" i="1" s="1"/>
  <c r="BF77" i="1"/>
  <c r="BD77" i="1"/>
  <c r="AP77" i="1"/>
  <c r="BI77" i="1" s="1"/>
  <c r="AO77" i="1"/>
  <c r="BH77" i="1" s="1"/>
  <c r="AL77" i="1"/>
  <c r="AJ77" i="1"/>
  <c r="AH77" i="1"/>
  <c r="AG77" i="1"/>
  <c r="AF77" i="1"/>
  <c r="AE77" i="1"/>
  <c r="AD77" i="1"/>
  <c r="AC77" i="1"/>
  <c r="AB77" i="1"/>
  <c r="J77" i="1"/>
  <c r="AK77" i="1" s="1"/>
  <c r="H77" i="1"/>
  <c r="BJ76" i="1"/>
  <c r="Z76" i="1" s="1"/>
  <c r="BF76" i="1"/>
  <c r="BD76" i="1"/>
  <c r="AP76" i="1"/>
  <c r="BI76" i="1" s="1"/>
  <c r="AO76" i="1"/>
  <c r="H76" i="1" s="1"/>
  <c r="AL76" i="1"/>
  <c r="AJ76" i="1"/>
  <c r="AH76" i="1"/>
  <c r="AG76" i="1"/>
  <c r="AF76" i="1"/>
  <c r="AE76" i="1"/>
  <c r="AD76" i="1"/>
  <c r="AC76" i="1"/>
  <c r="AB76" i="1"/>
  <c r="J76" i="1"/>
  <c r="I76" i="1"/>
  <c r="BJ74" i="1"/>
  <c r="Z74" i="1" s="1"/>
  <c r="BF74" i="1"/>
  <c r="BD74" i="1"/>
  <c r="AW74" i="1"/>
  <c r="AP74" i="1"/>
  <c r="BI74" i="1" s="1"/>
  <c r="AO74" i="1"/>
  <c r="BH74" i="1" s="1"/>
  <c r="AL74" i="1"/>
  <c r="AU73" i="1" s="1"/>
  <c r="AJ74" i="1"/>
  <c r="AS73" i="1" s="1"/>
  <c r="AH74" i="1"/>
  <c r="AG74" i="1"/>
  <c r="AF74" i="1"/>
  <c r="AE74" i="1"/>
  <c r="AD74" i="1"/>
  <c r="AC74" i="1"/>
  <c r="AB74" i="1"/>
  <c r="J74" i="1"/>
  <c r="AK74" i="1" s="1"/>
  <c r="AT73" i="1" s="1"/>
  <c r="H74" i="1"/>
  <c r="H73" i="1" s="1"/>
  <c r="E24" i="2" s="1"/>
  <c r="J73" i="1"/>
  <c r="G24" i="2" s="1"/>
  <c r="I24" i="2" s="1"/>
  <c r="BJ72" i="1"/>
  <c r="BF72" i="1"/>
  <c r="BD72" i="1"/>
  <c r="AP72" i="1"/>
  <c r="BI72" i="1" s="1"/>
  <c r="AC72" i="1" s="1"/>
  <c r="AO72" i="1"/>
  <c r="BH72" i="1" s="1"/>
  <c r="AB72" i="1" s="1"/>
  <c r="AL72" i="1"/>
  <c r="AU71" i="1" s="1"/>
  <c r="AJ72" i="1"/>
  <c r="AS71" i="1" s="1"/>
  <c r="AH72" i="1"/>
  <c r="AG72" i="1"/>
  <c r="AF72" i="1"/>
  <c r="AE72" i="1"/>
  <c r="AD72" i="1"/>
  <c r="Z72" i="1"/>
  <c r="J72" i="1"/>
  <c r="AK72" i="1" s="1"/>
  <c r="AT71" i="1" s="1"/>
  <c r="H72" i="1"/>
  <c r="H71" i="1" s="1"/>
  <c r="E23" i="2" s="1"/>
  <c r="J71" i="1"/>
  <c r="G23" i="2" s="1"/>
  <c r="I23" i="2" s="1"/>
  <c r="BJ70" i="1"/>
  <c r="BF70" i="1"/>
  <c r="BD70" i="1"/>
  <c r="AP70" i="1"/>
  <c r="AO70" i="1"/>
  <c r="BH70" i="1" s="1"/>
  <c r="AB70" i="1" s="1"/>
  <c r="AL70" i="1"/>
  <c r="AJ70" i="1"/>
  <c r="AH70" i="1"/>
  <c r="AG70" i="1"/>
  <c r="AF70" i="1"/>
  <c r="AE70" i="1"/>
  <c r="AD70" i="1"/>
  <c r="Z70" i="1"/>
  <c r="J70" i="1"/>
  <c r="AK70" i="1" s="1"/>
  <c r="BJ69" i="1"/>
  <c r="BF69" i="1"/>
  <c r="BD69" i="1"/>
  <c r="AP69" i="1"/>
  <c r="BI69" i="1" s="1"/>
  <c r="AC69" i="1" s="1"/>
  <c r="AO69" i="1"/>
  <c r="AL69" i="1"/>
  <c r="AJ69" i="1"/>
  <c r="AH69" i="1"/>
  <c r="AG69" i="1"/>
  <c r="AF69" i="1"/>
  <c r="AE69" i="1"/>
  <c r="AD69" i="1"/>
  <c r="Z69" i="1"/>
  <c r="J69" i="1"/>
  <c r="AK69" i="1" s="1"/>
  <c r="BJ68" i="1"/>
  <c r="BI68" i="1"/>
  <c r="AC68" i="1" s="1"/>
  <c r="BF68" i="1"/>
  <c r="BD68" i="1"/>
  <c r="AP68" i="1"/>
  <c r="AX68" i="1" s="1"/>
  <c r="AO68" i="1"/>
  <c r="BH68" i="1" s="1"/>
  <c r="AB68" i="1" s="1"/>
  <c r="AL68" i="1"/>
  <c r="AK68" i="1"/>
  <c r="AJ68" i="1"/>
  <c r="AH68" i="1"/>
  <c r="AG68" i="1"/>
  <c r="AF68" i="1"/>
  <c r="AE68" i="1"/>
  <c r="AD68" i="1"/>
  <c r="Z68" i="1"/>
  <c r="J68" i="1"/>
  <c r="I68" i="1"/>
  <c r="BJ66" i="1"/>
  <c r="BF66" i="1"/>
  <c r="BD66" i="1"/>
  <c r="AX66" i="1"/>
  <c r="AP66" i="1"/>
  <c r="AO66" i="1"/>
  <c r="AW66" i="1" s="1"/>
  <c r="AL66" i="1"/>
  <c r="AK66" i="1"/>
  <c r="AJ66" i="1"/>
  <c r="AS65" i="1" s="1"/>
  <c r="AH66" i="1"/>
  <c r="AG66" i="1"/>
  <c r="AF66" i="1"/>
  <c r="AE66" i="1"/>
  <c r="AD66" i="1"/>
  <c r="Z66" i="1"/>
  <c r="J66" i="1"/>
  <c r="H66" i="1"/>
  <c r="AU65" i="1"/>
  <c r="AT65" i="1"/>
  <c r="J65" i="1"/>
  <c r="G21" i="2" s="1"/>
  <c r="I21" i="2" s="1"/>
  <c r="H65" i="1"/>
  <c r="E21" i="2" s="1"/>
  <c r="BJ64" i="1"/>
  <c r="BI64" i="1"/>
  <c r="BF64" i="1"/>
  <c r="BD64" i="1"/>
  <c r="AP64" i="1"/>
  <c r="AX64" i="1" s="1"/>
  <c r="AO64" i="1"/>
  <c r="AL64" i="1"/>
  <c r="AJ64" i="1"/>
  <c r="AH64" i="1"/>
  <c r="AG64" i="1"/>
  <c r="AF64" i="1"/>
  <c r="AE64" i="1"/>
  <c r="AD64" i="1"/>
  <c r="AC64" i="1"/>
  <c r="Z64" i="1"/>
  <c r="J64" i="1"/>
  <c r="AK64" i="1" s="1"/>
  <c r="I64" i="1"/>
  <c r="BJ63" i="1"/>
  <c r="BF63" i="1"/>
  <c r="BD63" i="1"/>
  <c r="AP63" i="1"/>
  <c r="I63" i="1" s="1"/>
  <c r="AO63" i="1"/>
  <c r="AL63" i="1"/>
  <c r="AJ63" i="1"/>
  <c r="AH63" i="1"/>
  <c r="AG63" i="1"/>
  <c r="AF63" i="1"/>
  <c r="AE63" i="1"/>
  <c r="AD63" i="1"/>
  <c r="Z63" i="1"/>
  <c r="J63" i="1"/>
  <c r="AK63" i="1" s="1"/>
  <c r="BJ62" i="1"/>
  <c r="BF62" i="1"/>
  <c r="BD62" i="1"/>
  <c r="AW62" i="1"/>
  <c r="AP62" i="1"/>
  <c r="AO62" i="1"/>
  <c r="BH62" i="1" s="1"/>
  <c r="AB62" i="1" s="1"/>
  <c r="AL62" i="1"/>
  <c r="AK62" i="1"/>
  <c r="AJ62" i="1"/>
  <c r="AH62" i="1"/>
  <c r="AG62" i="1"/>
  <c r="AF62" i="1"/>
  <c r="AE62" i="1"/>
  <c r="AD62" i="1"/>
  <c r="Z62" i="1"/>
  <c r="J62" i="1"/>
  <c r="H62" i="1"/>
  <c r="BJ61" i="1"/>
  <c r="BF61" i="1"/>
  <c r="BD61" i="1"/>
  <c r="AX61" i="1"/>
  <c r="AP61" i="1"/>
  <c r="BI61" i="1" s="1"/>
  <c r="AC61" i="1" s="1"/>
  <c r="AO61" i="1"/>
  <c r="AL61" i="1"/>
  <c r="AJ61" i="1"/>
  <c r="AH61" i="1"/>
  <c r="AG61" i="1"/>
  <c r="AF61" i="1"/>
  <c r="AE61" i="1"/>
  <c r="AD61" i="1"/>
  <c r="Z61" i="1"/>
  <c r="J61" i="1"/>
  <c r="AK61" i="1" s="1"/>
  <c r="I61" i="1"/>
  <c r="BJ60" i="1"/>
  <c r="BI60" i="1"/>
  <c r="BF60" i="1"/>
  <c r="BD60" i="1"/>
  <c r="AP60" i="1"/>
  <c r="AX60" i="1" s="1"/>
  <c r="AO60" i="1"/>
  <c r="AL60" i="1"/>
  <c r="AJ60" i="1"/>
  <c r="AH60" i="1"/>
  <c r="AG60" i="1"/>
  <c r="AF60" i="1"/>
  <c r="AE60" i="1"/>
  <c r="AD60" i="1"/>
  <c r="AC60" i="1"/>
  <c r="Z60" i="1"/>
  <c r="J60" i="1"/>
  <c r="I60" i="1"/>
  <c r="AU59" i="1"/>
  <c r="BJ58" i="1"/>
  <c r="BF58" i="1"/>
  <c r="BD58" i="1"/>
  <c r="AX58" i="1"/>
  <c r="AP58" i="1"/>
  <c r="BI58" i="1" s="1"/>
  <c r="AC58" i="1" s="1"/>
  <c r="AO58" i="1"/>
  <c r="BH58" i="1" s="1"/>
  <c r="AB58" i="1" s="1"/>
  <c r="AL58" i="1"/>
  <c r="AJ58" i="1"/>
  <c r="AH58" i="1"/>
  <c r="AG58" i="1"/>
  <c r="AF58" i="1"/>
  <c r="AE58" i="1"/>
  <c r="AD58" i="1"/>
  <c r="Z58" i="1"/>
  <c r="J58" i="1"/>
  <c r="AK58" i="1" s="1"/>
  <c r="I58" i="1"/>
  <c r="H58" i="1"/>
  <c r="BJ57" i="1"/>
  <c r="BF57" i="1"/>
  <c r="BD57" i="1"/>
  <c r="AP57" i="1"/>
  <c r="AO57" i="1"/>
  <c r="H57" i="1" s="1"/>
  <c r="AL57" i="1"/>
  <c r="AJ57" i="1"/>
  <c r="AS56" i="1" s="1"/>
  <c r="AH57" i="1"/>
  <c r="AG57" i="1"/>
  <c r="AF57" i="1"/>
  <c r="AE57" i="1"/>
  <c r="AD57" i="1"/>
  <c r="Z57" i="1"/>
  <c r="J57" i="1"/>
  <c r="AU56" i="1"/>
  <c r="BJ55" i="1"/>
  <c r="BF55" i="1"/>
  <c r="BD55" i="1"/>
  <c r="AX55" i="1"/>
  <c r="AP55" i="1"/>
  <c r="BI55" i="1" s="1"/>
  <c r="AE55" i="1" s="1"/>
  <c r="AO55" i="1"/>
  <c r="BH55" i="1" s="1"/>
  <c r="AD55" i="1" s="1"/>
  <c r="AL55" i="1"/>
  <c r="AJ55" i="1"/>
  <c r="AH55" i="1"/>
  <c r="AG55" i="1"/>
  <c r="AF55" i="1"/>
  <c r="AC55" i="1"/>
  <c r="AB55" i="1"/>
  <c r="Z55" i="1"/>
  <c r="J55" i="1"/>
  <c r="AK55" i="1" s="1"/>
  <c r="I55" i="1"/>
  <c r="H55" i="1"/>
  <c r="BJ54" i="1"/>
  <c r="BF54" i="1"/>
  <c r="BD54" i="1"/>
  <c r="AW54" i="1"/>
  <c r="AP54" i="1"/>
  <c r="AO54" i="1"/>
  <c r="H54" i="1" s="1"/>
  <c r="AL54" i="1"/>
  <c r="AJ54" i="1"/>
  <c r="AH54" i="1"/>
  <c r="AG54" i="1"/>
  <c r="AF54" i="1"/>
  <c r="AC54" i="1"/>
  <c r="AB54" i="1"/>
  <c r="Z54" i="1"/>
  <c r="J54" i="1"/>
  <c r="AS53" i="1"/>
  <c r="BJ52" i="1"/>
  <c r="Z52" i="1" s="1"/>
  <c r="BF52" i="1"/>
  <c r="BD52" i="1"/>
  <c r="AP52" i="1"/>
  <c r="BI52" i="1" s="1"/>
  <c r="AO52" i="1"/>
  <c r="BH52" i="1" s="1"/>
  <c r="AL52" i="1"/>
  <c r="AJ52" i="1"/>
  <c r="AH52" i="1"/>
  <c r="AG52" i="1"/>
  <c r="AF52" i="1"/>
  <c r="AE52" i="1"/>
  <c r="AD52" i="1"/>
  <c r="AC52" i="1"/>
  <c r="AB52" i="1"/>
  <c r="J52" i="1"/>
  <c r="AK52" i="1" s="1"/>
  <c r="I52" i="1"/>
  <c r="BJ51" i="1"/>
  <c r="BF51" i="1"/>
  <c r="BD51" i="1"/>
  <c r="AP51" i="1"/>
  <c r="BI51" i="1" s="1"/>
  <c r="AE51" i="1" s="1"/>
  <c r="AO51" i="1"/>
  <c r="H51" i="1" s="1"/>
  <c r="AL51" i="1"/>
  <c r="AJ51" i="1"/>
  <c r="AH51" i="1"/>
  <c r="AG51" i="1"/>
  <c r="AF51" i="1"/>
  <c r="AC51" i="1"/>
  <c r="AB51" i="1"/>
  <c r="Z51" i="1"/>
  <c r="J51" i="1"/>
  <c r="AK51" i="1" s="1"/>
  <c r="BJ50" i="1"/>
  <c r="BI50" i="1"/>
  <c r="AE50" i="1" s="1"/>
  <c r="BF50" i="1"/>
  <c r="BD50" i="1"/>
  <c r="AP50" i="1"/>
  <c r="I50" i="1" s="1"/>
  <c r="AO50" i="1"/>
  <c r="AL50" i="1"/>
  <c r="AJ50" i="1"/>
  <c r="AH50" i="1"/>
  <c r="AG50" i="1"/>
  <c r="AF50" i="1"/>
  <c r="AC50" i="1"/>
  <c r="AB50" i="1"/>
  <c r="Z50" i="1"/>
  <c r="J50" i="1"/>
  <c r="AK50" i="1" s="1"/>
  <c r="BJ49" i="1"/>
  <c r="BF49" i="1"/>
  <c r="BD49" i="1"/>
  <c r="AW49" i="1"/>
  <c r="AV49" i="1" s="1"/>
  <c r="AP49" i="1"/>
  <c r="AX49" i="1" s="1"/>
  <c r="AO49" i="1"/>
  <c r="BH49" i="1" s="1"/>
  <c r="AD49" i="1" s="1"/>
  <c r="AL49" i="1"/>
  <c r="AJ49" i="1"/>
  <c r="AH49" i="1"/>
  <c r="AG49" i="1"/>
  <c r="AF49" i="1"/>
  <c r="AC49" i="1"/>
  <c r="AB49" i="1"/>
  <c r="Z49" i="1"/>
  <c r="J49" i="1"/>
  <c r="AK49" i="1" s="1"/>
  <c r="H49" i="1"/>
  <c r="BJ48" i="1"/>
  <c r="BF48" i="1"/>
  <c r="BD48" i="1"/>
  <c r="AX48" i="1"/>
  <c r="AP48" i="1"/>
  <c r="BI48" i="1" s="1"/>
  <c r="AE48" i="1" s="1"/>
  <c r="AO48" i="1"/>
  <c r="AL48" i="1"/>
  <c r="AJ48" i="1"/>
  <c r="AH48" i="1"/>
  <c r="AG48" i="1"/>
  <c r="AF48" i="1"/>
  <c r="AC48" i="1"/>
  <c r="AB48" i="1"/>
  <c r="Z48" i="1"/>
  <c r="J48" i="1"/>
  <c r="AK48" i="1" s="1"/>
  <c r="I48" i="1"/>
  <c r="BJ47" i="1"/>
  <c r="BI47" i="1"/>
  <c r="AE47" i="1" s="1"/>
  <c r="BF47" i="1"/>
  <c r="BD47" i="1"/>
  <c r="AX47" i="1"/>
  <c r="AP47" i="1"/>
  <c r="AO47" i="1"/>
  <c r="AW47" i="1" s="1"/>
  <c r="AL47" i="1"/>
  <c r="AJ47" i="1"/>
  <c r="AH47" i="1"/>
  <c r="AG47" i="1"/>
  <c r="AF47" i="1"/>
  <c r="AC47" i="1"/>
  <c r="AB47" i="1"/>
  <c r="Z47" i="1"/>
  <c r="J47" i="1"/>
  <c r="AK47" i="1" s="1"/>
  <c r="I47" i="1"/>
  <c r="BJ46" i="1"/>
  <c r="BF46" i="1"/>
  <c r="BD46" i="1"/>
  <c r="AW46" i="1"/>
  <c r="AP46" i="1"/>
  <c r="BI46" i="1" s="1"/>
  <c r="AE46" i="1" s="1"/>
  <c r="AO46" i="1"/>
  <c r="H46" i="1" s="1"/>
  <c r="AL46" i="1"/>
  <c r="AJ46" i="1"/>
  <c r="AS45" i="1" s="1"/>
  <c r="AH46" i="1"/>
  <c r="AG46" i="1"/>
  <c r="AF46" i="1"/>
  <c r="AC46" i="1"/>
  <c r="AB46" i="1"/>
  <c r="Z46" i="1"/>
  <c r="J46" i="1"/>
  <c r="AK46" i="1" s="1"/>
  <c r="I46" i="1"/>
  <c r="BJ44" i="1"/>
  <c r="Z44" i="1" s="1"/>
  <c r="BF44" i="1"/>
  <c r="BD44" i="1"/>
  <c r="AW44" i="1"/>
  <c r="AP44" i="1"/>
  <c r="BI44" i="1" s="1"/>
  <c r="AO44" i="1"/>
  <c r="BH44" i="1" s="1"/>
  <c r="AL44" i="1"/>
  <c r="AJ44" i="1"/>
  <c r="AH44" i="1"/>
  <c r="AG44" i="1"/>
  <c r="AF44" i="1"/>
  <c r="AE44" i="1"/>
  <c r="AD44" i="1"/>
  <c r="AC44" i="1"/>
  <c r="AB44" i="1"/>
  <c r="J44" i="1"/>
  <c r="AK44" i="1" s="1"/>
  <c r="I44" i="1"/>
  <c r="H44" i="1"/>
  <c r="BJ43" i="1"/>
  <c r="BF43" i="1"/>
  <c r="BD43" i="1"/>
  <c r="AX43" i="1"/>
  <c r="AW43" i="1"/>
  <c r="AP43" i="1"/>
  <c r="BI43" i="1" s="1"/>
  <c r="AE43" i="1" s="1"/>
  <c r="AO43" i="1"/>
  <c r="H43" i="1" s="1"/>
  <c r="AL43" i="1"/>
  <c r="AJ43" i="1"/>
  <c r="AH43" i="1"/>
  <c r="AG43" i="1"/>
  <c r="AF43" i="1"/>
  <c r="AC43" i="1"/>
  <c r="AB43" i="1"/>
  <c r="Z43" i="1"/>
  <c r="J43" i="1"/>
  <c r="AK43" i="1" s="1"/>
  <c r="I43" i="1"/>
  <c r="BJ42" i="1"/>
  <c r="BF42" i="1"/>
  <c r="BD42" i="1"/>
  <c r="AX42" i="1"/>
  <c r="AP42" i="1"/>
  <c r="I42" i="1" s="1"/>
  <c r="AO42" i="1"/>
  <c r="AL42" i="1"/>
  <c r="AU40" i="1" s="1"/>
  <c r="AJ42" i="1"/>
  <c r="AH42" i="1"/>
  <c r="AG42" i="1"/>
  <c r="AF42" i="1"/>
  <c r="AC42" i="1"/>
  <c r="AB42" i="1"/>
  <c r="Z42" i="1"/>
  <c r="J42" i="1"/>
  <c r="BJ41" i="1"/>
  <c r="BF41" i="1"/>
  <c r="BD41" i="1"/>
  <c r="AP41" i="1"/>
  <c r="AO41" i="1"/>
  <c r="BH41" i="1" s="1"/>
  <c r="AD41" i="1" s="1"/>
  <c r="AL41" i="1"/>
  <c r="AJ41" i="1"/>
  <c r="AS40" i="1" s="1"/>
  <c r="AH41" i="1"/>
  <c r="AG41" i="1"/>
  <c r="AF41" i="1"/>
  <c r="AC41" i="1"/>
  <c r="AB41" i="1"/>
  <c r="Z41" i="1"/>
  <c r="J41" i="1"/>
  <c r="AK41" i="1" s="1"/>
  <c r="H41" i="1"/>
  <c r="BJ39" i="1"/>
  <c r="BF39" i="1"/>
  <c r="BD39" i="1"/>
  <c r="AX39" i="1"/>
  <c r="AP39" i="1"/>
  <c r="I39" i="1" s="1"/>
  <c r="AO39" i="1"/>
  <c r="AL39" i="1"/>
  <c r="AJ39" i="1"/>
  <c r="AH39" i="1"/>
  <c r="AG39" i="1"/>
  <c r="AF39" i="1"/>
  <c r="AE39" i="1"/>
  <c r="AD39" i="1"/>
  <c r="AC39" i="1"/>
  <c r="AB39" i="1"/>
  <c r="Z39" i="1"/>
  <c r="J39" i="1"/>
  <c r="AK39" i="1" s="1"/>
  <c r="BJ38" i="1"/>
  <c r="BF38" i="1"/>
  <c r="BD38" i="1"/>
  <c r="AP38" i="1"/>
  <c r="AO38" i="1"/>
  <c r="BH38" i="1" s="1"/>
  <c r="AD38" i="1" s="1"/>
  <c r="AL38" i="1"/>
  <c r="AJ38" i="1"/>
  <c r="AH38" i="1"/>
  <c r="AG38" i="1"/>
  <c r="AF38" i="1"/>
  <c r="AC38" i="1"/>
  <c r="AB38" i="1"/>
  <c r="Z38" i="1"/>
  <c r="J38" i="1"/>
  <c r="AK38" i="1" s="1"/>
  <c r="H38" i="1"/>
  <c r="BJ37" i="1"/>
  <c r="BF37" i="1"/>
  <c r="BD37" i="1"/>
  <c r="AP37" i="1"/>
  <c r="BI37" i="1" s="1"/>
  <c r="AE37" i="1" s="1"/>
  <c r="AO37" i="1"/>
  <c r="BH37" i="1" s="1"/>
  <c r="AD37" i="1" s="1"/>
  <c r="AL37" i="1"/>
  <c r="AJ37" i="1"/>
  <c r="AH37" i="1"/>
  <c r="AG37" i="1"/>
  <c r="AF37" i="1"/>
  <c r="AC37" i="1"/>
  <c r="AB37" i="1"/>
  <c r="Z37" i="1"/>
  <c r="J37" i="1"/>
  <c r="AK37" i="1" s="1"/>
  <c r="I37" i="1"/>
  <c r="H37" i="1"/>
  <c r="BJ35" i="1"/>
  <c r="BF35" i="1"/>
  <c r="BD35" i="1"/>
  <c r="AP35" i="1"/>
  <c r="BI35" i="1" s="1"/>
  <c r="AO35" i="1"/>
  <c r="BH35" i="1" s="1"/>
  <c r="AL35" i="1"/>
  <c r="AJ35" i="1"/>
  <c r="AH35" i="1"/>
  <c r="AG35" i="1"/>
  <c r="AF35" i="1"/>
  <c r="AE35" i="1"/>
  <c r="AD35" i="1"/>
  <c r="AC35" i="1"/>
  <c r="AB35" i="1"/>
  <c r="Z35" i="1"/>
  <c r="J35" i="1"/>
  <c r="AK35" i="1" s="1"/>
  <c r="H35" i="1"/>
  <c r="BJ34" i="1"/>
  <c r="BF34" i="1"/>
  <c r="BD34" i="1"/>
  <c r="AP34" i="1"/>
  <c r="BI34" i="1" s="1"/>
  <c r="AE34" i="1" s="1"/>
  <c r="AO34" i="1"/>
  <c r="BH34" i="1" s="1"/>
  <c r="AD34" i="1" s="1"/>
  <c r="AL34" i="1"/>
  <c r="AJ34" i="1"/>
  <c r="AH34" i="1"/>
  <c r="AG34" i="1"/>
  <c r="AF34" i="1"/>
  <c r="AC34" i="1"/>
  <c r="AB34" i="1"/>
  <c r="Z34" i="1"/>
  <c r="J34" i="1"/>
  <c r="AK34" i="1" s="1"/>
  <c r="I34" i="1"/>
  <c r="H34" i="1"/>
  <c r="BJ33" i="1"/>
  <c r="BF33" i="1"/>
  <c r="BD33" i="1"/>
  <c r="AX33" i="1"/>
  <c r="AP33" i="1"/>
  <c r="BI33" i="1" s="1"/>
  <c r="AE33" i="1" s="1"/>
  <c r="AO33" i="1"/>
  <c r="H33" i="1" s="1"/>
  <c r="AL33" i="1"/>
  <c r="AJ33" i="1"/>
  <c r="AH33" i="1"/>
  <c r="AG33" i="1"/>
  <c r="AF33" i="1"/>
  <c r="AC33" i="1"/>
  <c r="AB33" i="1"/>
  <c r="Z33" i="1"/>
  <c r="J33" i="1"/>
  <c r="AK33" i="1" s="1"/>
  <c r="I33" i="1"/>
  <c r="BJ32" i="1"/>
  <c r="BF32" i="1"/>
  <c r="BD32" i="1"/>
  <c r="AP32" i="1"/>
  <c r="I32" i="1" s="1"/>
  <c r="AO32" i="1"/>
  <c r="BH32" i="1" s="1"/>
  <c r="AD32" i="1" s="1"/>
  <c r="AL32" i="1"/>
  <c r="AJ32" i="1"/>
  <c r="AH32" i="1"/>
  <c r="AG32" i="1"/>
  <c r="AF32" i="1"/>
  <c r="AC32" i="1"/>
  <c r="AB32" i="1"/>
  <c r="Z32" i="1"/>
  <c r="J32" i="1"/>
  <c r="AK32" i="1" s="1"/>
  <c r="BJ31" i="1"/>
  <c r="BF31" i="1"/>
  <c r="BD31" i="1"/>
  <c r="AP31" i="1"/>
  <c r="AO31" i="1"/>
  <c r="BH31" i="1" s="1"/>
  <c r="AD31" i="1" s="1"/>
  <c r="AL31" i="1"/>
  <c r="AJ31" i="1"/>
  <c r="AH31" i="1"/>
  <c r="AG31" i="1"/>
  <c r="AF31" i="1"/>
  <c r="AC31" i="1"/>
  <c r="AB31" i="1"/>
  <c r="Z31" i="1"/>
  <c r="J31" i="1"/>
  <c r="AK31" i="1" s="1"/>
  <c r="H31" i="1"/>
  <c r="BJ30" i="1"/>
  <c r="BF30" i="1"/>
  <c r="BD30" i="1"/>
  <c r="AP30" i="1"/>
  <c r="BI30" i="1" s="1"/>
  <c r="AE30" i="1" s="1"/>
  <c r="AO30" i="1"/>
  <c r="BH30" i="1" s="1"/>
  <c r="AD30" i="1" s="1"/>
  <c r="AL30" i="1"/>
  <c r="AJ30" i="1"/>
  <c r="AH30" i="1"/>
  <c r="AG30" i="1"/>
  <c r="AF30" i="1"/>
  <c r="AC30" i="1"/>
  <c r="AB30" i="1"/>
  <c r="Z30" i="1"/>
  <c r="J30" i="1"/>
  <c r="AK30" i="1" s="1"/>
  <c r="I30" i="1"/>
  <c r="H30" i="1"/>
  <c r="BJ29" i="1"/>
  <c r="BF29" i="1"/>
  <c r="BD29" i="1"/>
  <c r="AX29" i="1"/>
  <c r="AW29" i="1"/>
  <c r="AP29" i="1"/>
  <c r="BI29" i="1" s="1"/>
  <c r="AE29" i="1" s="1"/>
  <c r="AO29" i="1"/>
  <c r="H29" i="1" s="1"/>
  <c r="AL29" i="1"/>
  <c r="AJ29" i="1"/>
  <c r="AH29" i="1"/>
  <c r="AG29" i="1"/>
  <c r="AF29" i="1"/>
  <c r="AC29" i="1"/>
  <c r="AB29" i="1"/>
  <c r="Z29" i="1"/>
  <c r="J29" i="1"/>
  <c r="AK29" i="1" s="1"/>
  <c r="I29" i="1"/>
  <c r="BJ28" i="1"/>
  <c r="BI28" i="1"/>
  <c r="AE28" i="1" s="1"/>
  <c r="BF28" i="1"/>
  <c r="BD28" i="1"/>
  <c r="AP28" i="1"/>
  <c r="I28" i="1" s="1"/>
  <c r="AO28" i="1"/>
  <c r="AL28" i="1"/>
  <c r="AJ28" i="1"/>
  <c r="AH28" i="1"/>
  <c r="AG28" i="1"/>
  <c r="AF28" i="1"/>
  <c r="AC28" i="1"/>
  <c r="AB28" i="1"/>
  <c r="Z28" i="1"/>
  <c r="J28" i="1"/>
  <c r="AK28" i="1" s="1"/>
  <c r="BJ27" i="1"/>
  <c r="BF27" i="1"/>
  <c r="BD27" i="1"/>
  <c r="AP27" i="1"/>
  <c r="BI27" i="1" s="1"/>
  <c r="AE27" i="1" s="1"/>
  <c r="AO27" i="1"/>
  <c r="BH27" i="1" s="1"/>
  <c r="AD27" i="1" s="1"/>
  <c r="AL27" i="1"/>
  <c r="AJ27" i="1"/>
  <c r="AH27" i="1"/>
  <c r="AG27" i="1"/>
  <c r="AF27" i="1"/>
  <c r="AC27" i="1"/>
  <c r="AB27" i="1"/>
  <c r="Z27" i="1"/>
  <c r="J27" i="1"/>
  <c r="AK27" i="1" s="1"/>
  <c r="H27" i="1"/>
  <c r="BJ26" i="1"/>
  <c r="BF26" i="1"/>
  <c r="BD26" i="1"/>
  <c r="AW26" i="1"/>
  <c r="AP26" i="1"/>
  <c r="BI26" i="1" s="1"/>
  <c r="AE26" i="1" s="1"/>
  <c r="AO26" i="1"/>
  <c r="BH26" i="1" s="1"/>
  <c r="AD26" i="1" s="1"/>
  <c r="AL26" i="1"/>
  <c r="AJ26" i="1"/>
  <c r="AH26" i="1"/>
  <c r="AG26" i="1"/>
  <c r="AF26" i="1"/>
  <c r="AC26" i="1"/>
  <c r="AB26" i="1"/>
  <c r="Z26" i="1"/>
  <c r="J26" i="1"/>
  <c r="AK26" i="1" s="1"/>
  <c r="I26" i="1"/>
  <c r="H26" i="1"/>
  <c r="BJ25" i="1"/>
  <c r="BH25" i="1"/>
  <c r="BF25" i="1"/>
  <c r="BD25" i="1"/>
  <c r="AX25" i="1"/>
  <c r="AW25" i="1"/>
  <c r="AP25" i="1"/>
  <c r="BI25" i="1" s="1"/>
  <c r="AE25" i="1" s="1"/>
  <c r="AO25" i="1"/>
  <c r="H25" i="1" s="1"/>
  <c r="AL25" i="1"/>
  <c r="AJ25" i="1"/>
  <c r="AH25" i="1"/>
  <c r="AG25" i="1"/>
  <c r="AF25" i="1"/>
  <c r="AD25" i="1"/>
  <c r="AC25" i="1"/>
  <c r="AB25" i="1"/>
  <c r="Z25" i="1"/>
  <c r="J25" i="1"/>
  <c r="I25" i="1"/>
  <c r="BJ23" i="1"/>
  <c r="BF23" i="1"/>
  <c r="BD23" i="1"/>
  <c r="AP23" i="1"/>
  <c r="BI23" i="1" s="1"/>
  <c r="AO23" i="1"/>
  <c r="BH23" i="1" s="1"/>
  <c r="AB23" i="1" s="1"/>
  <c r="AL23" i="1"/>
  <c r="AJ23" i="1"/>
  <c r="AH23" i="1"/>
  <c r="AG23" i="1"/>
  <c r="AF23" i="1"/>
  <c r="AE23" i="1"/>
  <c r="AD23" i="1"/>
  <c r="AC23" i="1"/>
  <c r="Z23" i="1"/>
  <c r="J23" i="1"/>
  <c r="AK23" i="1" s="1"/>
  <c r="I23" i="1"/>
  <c r="I20" i="1" s="1"/>
  <c r="F13" i="2" s="1"/>
  <c r="BJ22" i="1"/>
  <c r="BF22" i="1"/>
  <c r="BD22" i="1"/>
  <c r="AX22" i="1"/>
  <c r="AP22" i="1"/>
  <c r="BI22" i="1" s="1"/>
  <c r="AO22" i="1"/>
  <c r="H22" i="1" s="1"/>
  <c r="AL22" i="1"/>
  <c r="AJ22" i="1"/>
  <c r="AH22" i="1"/>
  <c r="AG22" i="1"/>
  <c r="AF22" i="1"/>
  <c r="AE22" i="1"/>
  <c r="AD22" i="1"/>
  <c r="AC22" i="1"/>
  <c r="Z22" i="1"/>
  <c r="J22" i="1"/>
  <c r="AK22" i="1" s="1"/>
  <c r="I22" i="1"/>
  <c r="BJ21" i="1"/>
  <c r="BF21" i="1"/>
  <c r="BD21" i="1"/>
  <c r="AP21" i="1"/>
  <c r="I21" i="1" s="1"/>
  <c r="AO21" i="1"/>
  <c r="AL21" i="1"/>
  <c r="AJ21" i="1"/>
  <c r="AS20" i="1" s="1"/>
  <c r="AH21" i="1"/>
  <c r="AG21" i="1"/>
  <c r="AF21" i="1"/>
  <c r="AE21" i="1"/>
  <c r="AD21" i="1"/>
  <c r="Z21" i="1"/>
  <c r="J21" i="1"/>
  <c r="BJ19" i="1"/>
  <c r="BH19" i="1"/>
  <c r="AB19" i="1" s="1"/>
  <c r="BF19" i="1"/>
  <c r="BD19" i="1"/>
  <c r="AW19" i="1"/>
  <c r="AP19" i="1"/>
  <c r="BI19" i="1" s="1"/>
  <c r="AC19" i="1" s="1"/>
  <c r="AO19" i="1"/>
  <c r="H19" i="1" s="1"/>
  <c r="AL19" i="1"/>
  <c r="AJ19" i="1"/>
  <c r="AH19" i="1"/>
  <c r="AG19" i="1"/>
  <c r="AF19" i="1"/>
  <c r="AE19" i="1"/>
  <c r="AD19" i="1"/>
  <c r="Z19" i="1"/>
  <c r="J19" i="1"/>
  <c r="AK19" i="1" s="1"/>
  <c r="BJ18" i="1"/>
  <c r="BF18" i="1"/>
  <c r="BD18" i="1"/>
  <c r="AP18" i="1"/>
  <c r="I18" i="1" s="1"/>
  <c r="AO18" i="1"/>
  <c r="BH18" i="1" s="1"/>
  <c r="AB18" i="1" s="1"/>
  <c r="AL18" i="1"/>
  <c r="AJ18" i="1"/>
  <c r="AH18" i="1"/>
  <c r="AG18" i="1"/>
  <c r="AF18" i="1"/>
  <c r="AE18" i="1"/>
  <c r="AD18" i="1"/>
  <c r="Z18" i="1"/>
  <c r="J18" i="1"/>
  <c r="AK18" i="1" s="1"/>
  <c r="BJ17" i="1"/>
  <c r="BI17" i="1"/>
  <c r="AC17" i="1" s="1"/>
  <c r="BF17" i="1"/>
  <c r="BD17" i="1"/>
  <c r="AP17" i="1"/>
  <c r="AO17" i="1"/>
  <c r="BH17" i="1" s="1"/>
  <c r="AB17" i="1" s="1"/>
  <c r="AL17" i="1"/>
  <c r="AJ17" i="1"/>
  <c r="AH17" i="1"/>
  <c r="AG17" i="1"/>
  <c r="AF17" i="1"/>
  <c r="AE17" i="1"/>
  <c r="AD17" i="1"/>
  <c r="Z17" i="1"/>
  <c r="J17" i="1"/>
  <c r="AK17" i="1" s="1"/>
  <c r="H17" i="1"/>
  <c r="BJ16" i="1"/>
  <c r="BF16" i="1"/>
  <c r="BD16" i="1"/>
  <c r="AW16" i="1"/>
  <c r="AP16" i="1"/>
  <c r="BI16" i="1" s="1"/>
  <c r="AC16" i="1" s="1"/>
  <c r="AO16" i="1"/>
  <c r="BH16" i="1" s="1"/>
  <c r="AL16" i="1"/>
  <c r="AK16" i="1"/>
  <c r="AJ16" i="1"/>
  <c r="AH16" i="1"/>
  <c r="AG16" i="1"/>
  <c r="AF16" i="1"/>
  <c r="AE16" i="1"/>
  <c r="AD16" i="1"/>
  <c r="AB16" i="1"/>
  <c r="Z16" i="1"/>
  <c r="J16" i="1"/>
  <c r="I16" i="1"/>
  <c r="H16" i="1"/>
  <c r="BJ15" i="1"/>
  <c r="BF15" i="1"/>
  <c r="BD15" i="1"/>
  <c r="AP15" i="1"/>
  <c r="BI15" i="1" s="1"/>
  <c r="AO15" i="1"/>
  <c r="H15" i="1" s="1"/>
  <c r="AL15" i="1"/>
  <c r="AJ15" i="1"/>
  <c r="AH15" i="1"/>
  <c r="AG15" i="1"/>
  <c r="AF15" i="1"/>
  <c r="AE15" i="1"/>
  <c r="AD15" i="1"/>
  <c r="AC15" i="1"/>
  <c r="Z15" i="1"/>
  <c r="J15" i="1"/>
  <c r="I15" i="1"/>
  <c r="AS14" i="1"/>
  <c r="BJ13" i="1"/>
  <c r="BF13" i="1"/>
  <c r="BD13" i="1"/>
  <c r="AW13" i="1"/>
  <c r="AP13" i="1"/>
  <c r="BI13" i="1" s="1"/>
  <c r="AC13" i="1" s="1"/>
  <c r="AO13" i="1"/>
  <c r="BH13" i="1" s="1"/>
  <c r="AB13" i="1" s="1"/>
  <c r="AL13" i="1"/>
  <c r="AU12" i="1" s="1"/>
  <c r="AJ13" i="1"/>
  <c r="AH13" i="1"/>
  <c r="AG13" i="1"/>
  <c r="AF13" i="1"/>
  <c r="AE13" i="1"/>
  <c r="AD13" i="1"/>
  <c r="Z13" i="1"/>
  <c r="J13" i="1"/>
  <c r="AK13" i="1" s="1"/>
  <c r="I13" i="1"/>
  <c r="I12" i="1" s="1"/>
  <c r="F11" i="2" s="1"/>
  <c r="H13" i="1"/>
  <c r="H12" i="1" s="1"/>
  <c r="E11" i="2" s="1"/>
  <c r="AS12" i="1"/>
  <c r="J12" i="1"/>
  <c r="AU1" i="1"/>
  <c r="AT1" i="1"/>
  <c r="AS1" i="1"/>
  <c r="AT36" i="1" l="1"/>
  <c r="C19" i="3"/>
  <c r="H23" i="1"/>
  <c r="AW23" i="1"/>
  <c r="AW30" i="1"/>
  <c r="AW33" i="1"/>
  <c r="AU36" i="1"/>
  <c r="H52" i="1"/>
  <c r="AX52" i="1"/>
  <c r="AU53" i="1"/>
  <c r="AW55" i="1"/>
  <c r="AS59" i="1"/>
  <c r="H68" i="1"/>
  <c r="AU67" i="1"/>
  <c r="AW68" i="1"/>
  <c r="I74" i="1"/>
  <c r="I73" i="1" s="1"/>
  <c r="F24" i="2" s="1"/>
  <c r="AX76" i="1"/>
  <c r="AW77" i="1"/>
  <c r="H78" i="1"/>
  <c r="AX80" i="1"/>
  <c r="H81" i="1"/>
  <c r="H86" i="1"/>
  <c r="I87" i="1"/>
  <c r="AT45" i="1"/>
  <c r="AU45" i="1"/>
  <c r="AX46" i="1"/>
  <c r="H47" i="1"/>
  <c r="BH47" i="1"/>
  <c r="AD47" i="1" s="1"/>
  <c r="BI49" i="1"/>
  <c r="AE49" i="1" s="1"/>
  <c r="AW51" i="1"/>
  <c r="BH51" i="1"/>
  <c r="AD51" i="1" s="1"/>
  <c r="BI63" i="1"/>
  <c r="AC63" i="1" s="1"/>
  <c r="BH66" i="1"/>
  <c r="AB66" i="1" s="1"/>
  <c r="I77" i="1"/>
  <c r="AS84" i="1"/>
  <c r="AW87" i="1"/>
  <c r="AV87" i="1" s="1"/>
  <c r="BH87" i="1"/>
  <c r="I18" i="4"/>
  <c r="F29" i="4" s="1"/>
  <c r="I27" i="4"/>
  <c r="AU20" i="1"/>
  <c r="AS24" i="1"/>
  <c r="AX15" i="1"/>
  <c r="I19" i="1"/>
  <c r="AU24" i="1"/>
  <c r="AU14" i="1"/>
  <c r="AX19" i="1"/>
  <c r="AX32" i="1"/>
  <c r="AW34" i="1"/>
  <c r="AW37" i="1"/>
  <c r="AS36" i="1"/>
  <c r="BC49" i="1"/>
  <c r="AX51" i="1"/>
  <c r="AV51" i="1" s="1"/>
  <c r="AW52" i="1"/>
  <c r="AV52" i="1" s="1"/>
  <c r="H53" i="1"/>
  <c r="E18" i="2" s="1"/>
  <c r="AW57" i="1"/>
  <c r="H56" i="1"/>
  <c r="E19" i="2" s="1"/>
  <c r="AV66" i="1"/>
  <c r="AT67" i="1"/>
  <c r="AW76" i="1"/>
  <c r="BH76" i="1"/>
  <c r="AW81" i="1"/>
  <c r="AX87" i="1"/>
  <c r="AW21" i="1"/>
  <c r="H21" i="1"/>
  <c r="H20" i="1" s="1"/>
  <c r="E13" i="2" s="1"/>
  <c r="AW50" i="1"/>
  <c r="BH50" i="1"/>
  <c r="AD50" i="1" s="1"/>
  <c r="H50" i="1"/>
  <c r="BI70" i="1"/>
  <c r="AC70" i="1" s="1"/>
  <c r="AX70" i="1"/>
  <c r="I70" i="1"/>
  <c r="AW28" i="1"/>
  <c r="H28" i="1"/>
  <c r="AW63" i="1"/>
  <c r="BH63" i="1"/>
  <c r="AB63" i="1" s="1"/>
  <c r="AT12" i="1"/>
  <c r="BI18" i="1"/>
  <c r="AC18" i="1" s="1"/>
  <c r="AX21" i="1"/>
  <c r="BH21" i="1"/>
  <c r="AB21" i="1" s="1"/>
  <c r="AW22" i="1"/>
  <c r="BH22" i="1"/>
  <c r="AB22" i="1" s="1"/>
  <c r="AV29" i="1"/>
  <c r="BC29" i="1"/>
  <c r="AV33" i="1"/>
  <c r="BC33" i="1"/>
  <c r="J36" i="1"/>
  <c r="G15" i="2" s="1"/>
  <c r="I15" i="2" s="1"/>
  <c r="AX41" i="1"/>
  <c r="I41" i="1"/>
  <c r="I40" i="1" s="1"/>
  <c r="F16" i="2" s="1"/>
  <c r="BI41" i="1"/>
  <c r="AE41" i="1" s="1"/>
  <c r="AW42" i="1"/>
  <c r="H42" i="1"/>
  <c r="BI54" i="1"/>
  <c r="AE54" i="1" s="1"/>
  <c r="I54" i="1"/>
  <c r="I53" i="1" s="1"/>
  <c r="F18" i="2" s="1"/>
  <c r="AX54" i="1"/>
  <c r="BI57" i="1"/>
  <c r="AC57" i="1" s="1"/>
  <c r="AX57" i="1"/>
  <c r="BC57" i="1" s="1"/>
  <c r="H60" i="1"/>
  <c r="BH60" i="1"/>
  <c r="AB60" i="1" s="1"/>
  <c r="AW60" i="1"/>
  <c r="AX62" i="1"/>
  <c r="BI62" i="1"/>
  <c r="AC62" i="1" s="1"/>
  <c r="I62" i="1"/>
  <c r="I59" i="1" s="1"/>
  <c r="F20" i="2" s="1"/>
  <c r="AK76" i="1"/>
  <c r="AT75" i="1" s="1"/>
  <c r="J75" i="1"/>
  <c r="G25" i="2" s="1"/>
  <c r="I25" i="2" s="1"/>
  <c r="AV76" i="1"/>
  <c r="BC76" i="1"/>
  <c r="I79" i="1"/>
  <c r="BI79" i="1"/>
  <c r="AX79" i="1"/>
  <c r="C29" i="3"/>
  <c r="F29" i="3" s="1"/>
  <c r="G11" i="2"/>
  <c r="I11" i="2" s="1"/>
  <c r="AX35" i="1"/>
  <c r="I35" i="1"/>
  <c r="AW39" i="1"/>
  <c r="H39" i="1"/>
  <c r="H36" i="1" s="1"/>
  <c r="E15" i="2" s="1"/>
  <c r="AK42" i="1"/>
  <c r="AT40" i="1" s="1"/>
  <c r="J40" i="1"/>
  <c r="G16" i="2" s="1"/>
  <c r="I16" i="2" s="1"/>
  <c r="BC52" i="1"/>
  <c r="C27" i="3"/>
  <c r="AX18" i="1"/>
  <c r="AV19" i="1"/>
  <c r="BC19" i="1"/>
  <c r="AK25" i="1"/>
  <c r="AT24" i="1" s="1"/>
  <c r="J24" i="1"/>
  <c r="G14" i="2" s="1"/>
  <c r="I14" i="2" s="1"/>
  <c r="AV25" i="1"/>
  <c r="BC25" i="1"/>
  <c r="BH39" i="1"/>
  <c r="H40" i="1"/>
  <c r="E16" i="2" s="1"/>
  <c r="AV43" i="1"/>
  <c r="BC43" i="1"/>
  <c r="BH48" i="1"/>
  <c r="AD48" i="1" s="1"/>
  <c r="AW48" i="1"/>
  <c r="H48" i="1"/>
  <c r="C18" i="3"/>
  <c r="AK15" i="1"/>
  <c r="AT14" i="1" s="1"/>
  <c r="J14" i="1"/>
  <c r="G12" i="2" s="1"/>
  <c r="I12" i="2" s="1"/>
  <c r="AW15" i="1"/>
  <c r="BH15" i="1"/>
  <c r="AB15" i="1" s="1"/>
  <c r="AX17" i="1"/>
  <c r="I17" i="1"/>
  <c r="I14" i="1" s="1"/>
  <c r="F12" i="2" s="1"/>
  <c r="AW18" i="1"/>
  <c r="H18" i="1"/>
  <c r="H14" i="1" s="1"/>
  <c r="E12" i="2" s="1"/>
  <c r="AK21" i="1"/>
  <c r="AT20" i="1" s="1"/>
  <c r="J20" i="1"/>
  <c r="G13" i="2" s="1"/>
  <c r="I13" i="2" s="1"/>
  <c r="BI21" i="1"/>
  <c r="AC21" i="1" s="1"/>
  <c r="AX27" i="1"/>
  <c r="I27" i="1"/>
  <c r="AX28" i="1"/>
  <c r="BH28" i="1"/>
  <c r="AD28" i="1" s="1"/>
  <c r="AX31" i="1"/>
  <c r="I31" i="1"/>
  <c r="BI31" i="1"/>
  <c r="AE31" i="1" s="1"/>
  <c r="AW32" i="1"/>
  <c r="H32" i="1"/>
  <c r="AX38" i="1"/>
  <c r="I38" i="1"/>
  <c r="I36" i="1" s="1"/>
  <c r="F15" i="2" s="1"/>
  <c r="BI38" i="1"/>
  <c r="AE38" i="1" s="1"/>
  <c r="BH42" i="1"/>
  <c r="AD42" i="1" s="1"/>
  <c r="AV46" i="1"/>
  <c r="BC46" i="1"/>
  <c r="AV47" i="1"/>
  <c r="BC47" i="1"/>
  <c r="BC51" i="1"/>
  <c r="AK54" i="1"/>
  <c r="AT53" i="1" s="1"/>
  <c r="J53" i="1"/>
  <c r="G18" i="2" s="1"/>
  <c r="I18" i="2" s="1"/>
  <c r="I57" i="1"/>
  <c r="I56" i="1" s="1"/>
  <c r="F19" i="2" s="1"/>
  <c r="BH61" i="1"/>
  <c r="AB61" i="1" s="1"/>
  <c r="AW61" i="1"/>
  <c r="H61" i="1"/>
  <c r="H63" i="1"/>
  <c r="BC81" i="1"/>
  <c r="BH29" i="1"/>
  <c r="AD29" i="1" s="1"/>
  <c r="BH43" i="1"/>
  <c r="AD43" i="1" s="1"/>
  <c r="BH46" i="1"/>
  <c r="AD46" i="1" s="1"/>
  <c r="AV54" i="1"/>
  <c r="AK57" i="1"/>
  <c r="AT56" i="1" s="1"/>
  <c r="J56" i="1"/>
  <c r="G19" i="2" s="1"/>
  <c r="I19" i="2" s="1"/>
  <c r="BH64" i="1"/>
  <c r="AB64" i="1" s="1"/>
  <c r="H64" i="1"/>
  <c r="BC66" i="1"/>
  <c r="AW69" i="1"/>
  <c r="BH69" i="1"/>
  <c r="AB69" i="1" s="1"/>
  <c r="C20" i="3"/>
  <c r="AX13" i="1"/>
  <c r="AV13" i="1" s="1"/>
  <c r="AX16" i="1"/>
  <c r="AV16" i="1" s="1"/>
  <c r="AW17" i="1"/>
  <c r="AX23" i="1"/>
  <c r="AX26" i="1"/>
  <c r="AV26" i="1" s="1"/>
  <c r="AW27" i="1"/>
  <c r="AX30" i="1"/>
  <c r="AV30" i="1" s="1"/>
  <c r="AW31" i="1"/>
  <c r="AX34" i="1"/>
  <c r="AV34" i="1" s="1"/>
  <c r="AW35" i="1"/>
  <c r="AX37" i="1"/>
  <c r="AV37" i="1" s="1"/>
  <c r="AW38" i="1"/>
  <c r="AW41" i="1"/>
  <c r="AX44" i="1"/>
  <c r="AV44" i="1" s="1"/>
  <c r="I49" i="1"/>
  <c r="I45" i="1" s="1"/>
  <c r="F17" i="2" s="1"/>
  <c r="I51" i="1"/>
  <c r="BH54" i="1"/>
  <c r="AD54" i="1" s="1"/>
  <c r="BH57" i="1"/>
  <c r="AB57" i="1" s="1"/>
  <c r="AW58" i="1"/>
  <c r="AK60" i="1"/>
  <c r="AT59" i="1" s="1"/>
  <c r="J59" i="1"/>
  <c r="G20" i="2" s="1"/>
  <c r="I20" i="2" s="1"/>
  <c r="I66" i="1"/>
  <c r="I65" i="1" s="1"/>
  <c r="F21" i="2" s="1"/>
  <c r="BI66" i="1"/>
  <c r="AC66" i="1" s="1"/>
  <c r="J67" i="1"/>
  <c r="G22" i="2" s="1"/>
  <c r="I22" i="2" s="1"/>
  <c r="H69" i="1"/>
  <c r="H67" i="1" s="1"/>
  <c r="E22" i="2" s="1"/>
  <c r="I69" i="1"/>
  <c r="I67" i="1" s="1"/>
  <c r="F22" i="2" s="1"/>
  <c r="AX69" i="1"/>
  <c r="AX82" i="1"/>
  <c r="I82" i="1"/>
  <c r="BI82" i="1"/>
  <c r="H85" i="1"/>
  <c r="H84" i="1" s="1"/>
  <c r="BH85" i="1"/>
  <c r="AW85" i="1"/>
  <c r="BI32" i="1"/>
  <c r="AE32" i="1" s="1"/>
  <c r="BH33" i="1"/>
  <c r="AD33" i="1" s="1"/>
  <c r="BI39" i="1"/>
  <c r="BI42" i="1"/>
  <c r="AE42" i="1" s="1"/>
  <c r="AX72" i="1"/>
  <c r="I72" i="1"/>
  <c r="I71" i="1" s="1"/>
  <c r="F23" i="2" s="1"/>
  <c r="C21" i="3"/>
  <c r="J45" i="1"/>
  <c r="G17" i="2" s="1"/>
  <c r="I17" i="2" s="1"/>
  <c r="AX50" i="1"/>
  <c r="BC54" i="1"/>
  <c r="AX63" i="1"/>
  <c r="AW64" i="1"/>
  <c r="AS67" i="1"/>
  <c r="AW70" i="1"/>
  <c r="H70" i="1"/>
  <c r="I75" i="1"/>
  <c r="F25" i="2" s="1"/>
  <c r="AS75" i="1"/>
  <c r="AX78" i="1"/>
  <c r="I78" i="1"/>
  <c r="BI78" i="1"/>
  <c r="AW79" i="1"/>
  <c r="H79" i="1"/>
  <c r="H75" i="1" s="1"/>
  <c r="E25" i="2" s="1"/>
  <c r="AW80" i="1"/>
  <c r="BH80" i="1"/>
  <c r="AK85" i="1"/>
  <c r="AT84" i="1" s="1"/>
  <c r="J84" i="1"/>
  <c r="AX86" i="1"/>
  <c r="I86" i="1"/>
  <c r="I84" i="1" s="1"/>
  <c r="AU75" i="1"/>
  <c r="AX88" i="1"/>
  <c r="I88" i="1"/>
  <c r="F22" i="3"/>
  <c r="I22" i="3"/>
  <c r="I45" i="4"/>
  <c r="I24" i="3" s="1"/>
  <c r="AW72" i="1"/>
  <c r="AX74" i="1"/>
  <c r="AV74" i="1" s="1"/>
  <c r="AX77" i="1"/>
  <c r="BC77" i="1" s="1"/>
  <c r="AW78" i="1"/>
  <c r="AX81" i="1"/>
  <c r="AV81" i="1" s="1"/>
  <c r="AW82" i="1"/>
  <c r="AW86" i="1"/>
  <c r="AW88" i="1"/>
  <c r="AV23" i="1" l="1"/>
  <c r="C17" i="3"/>
  <c r="BC44" i="1"/>
  <c r="BC68" i="1"/>
  <c r="AV68" i="1"/>
  <c r="BC55" i="1"/>
  <c r="AV55" i="1"/>
  <c r="BC34" i="1"/>
  <c r="C16" i="3"/>
  <c r="BC87" i="1"/>
  <c r="I24" i="1"/>
  <c r="F14" i="2" s="1"/>
  <c r="H45" i="1"/>
  <c r="E17" i="2" s="1"/>
  <c r="C15" i="3"/>
  <c r="C14" i="3"/>
  <c r="BC13" i="1"/>
  <c r="BC30" i="1"/>
  <c r="BC16" i="1"/>
  <c r="H24" i="1"/>
  <c r="E14" i="2" s="1"/>
  <c r="I83" i="1"/>
  <c r="F26" i="2" s="1"/>
  <c r="F27" i="2"/>
  <c r="AV38" i="1"/>
  <c r="BC38" i="1"/>
  <c r="AV31" i="1"/>
  <c r="BC31" i="1"/>
  <c r="BC62" i="1"/>
  <c r="AV62" i="1"/>
  <c r="AV21" i="1"/>
  <c r="BC21" i="1"/>
  <c r="AV64" i="1"/>
  <c r="BC64" i="1"/>
  <c r="AV60" i="1"/>
  <c r="BC60" i="1"/>
  <c r="AV63" i="1"/>
  <c r="BC63" i="1"/>
  <c r="BC23" i="1"/>
  <c r="BC86" i="1"/>
  <c r="AV86" i="1"/>
  <c r="AV79" i="1"/>
  <c r="BC79" i="1"/>
  <c r="H83" i="1"/>
  <c r="E26" i="2" s="1"/>
  <c r="E27" i="2"/>
  <c r="BC61" i="1"/>
  <c r="AV61" i="1"/>
  <c r="C28" i="3"/>
  <c r="F28" i="3" s="1"/>
  <c r="AV50" i="1"/>
  <c r="BC50" i="1"/>
  <c r="AV82" i="1"/>
  <c r="BC82" i="1"/>
  <c r="AV77" i="1"/>
  <c r="BC58" i="1"/>
  <c r="AV58" i="1"/>
  <c r="BC17" i="1"/>
  <c r="AV17" i="1"/>
  <c r="AV69" i="1"/>
  <c r="BC69" i="1"/>
  <c r="AV57" i="1"/>
  <c r="AV39" i="1"/>
  <c r="BC39" i="1"/>
  <c r="J89" i="1"/>
  <c r="AV22" i="1"/>
  <c r="BC22" i="1"/>
  <c r="AV28" i="1"/>
  <c r="BC28" i="1"/>
  <c r="BC72" i="1"/>
  <c r="AV72" i="1"/>
  <c r="AV80" i="1"/>
  <c r="BC80" i="1"/>
  <c r="AV85" i="1"/>
  <c r="BC85" i="1"/>
  <c r="AV35" i="1"/>
  <c r="BC35" i="1"/>
  <c r="BC27" i="1"/>
  <c r="AV27" i="1"/>
  <c r="BC48" i="1"/>
  <c r="AV48" i="1"/>
  <c r="AV88" i="1"/>
  <c r="BC88" i="1"/>
  <c r="AV78" i="1"/>
  <c r="BC78" i="1"/>
  <c r="G27" i="2"/>
  <c r="I27" i="2" s="1"/>
  <c r="G28" i="2" s="1"/>
  <c r="J83" i="1"/>
  <c r="G26" i="2" s="1"/>
  <c r="AV70" i="1"/>
  <c r="BC70" i="1"/>
  <c r="BC74" i="1"/>
  <c r="AV41" i="1"/>
  <c r="BC41" i="1"/>
  <c r="AV32" i="1"/>
  <c r="BC32" i="1"/>
  <c r="AV18" i="1"/>
  <c r="BC18" i="1"/>
  <c r="AV15" i="1"/>
  <c r="BC15" i="1"/>
  <c r="H59" i="1"/>
  <c r="E20" i="2" s="1"/>
  <c r="AV42" i="1"/>
  <c r="BC42" i="1"/>
  <c r="BC37" i="1"/>
  <c r="BC26" i="1"/>
  <c r="C22" i="3" l="1"/>
  <c r="I28" i="3"/>
  <c r="I29" i="3" s="1"/>
</calcChain>
</file>

<file path=xl/sharedStrings.xml><?xml version="1.0" encoding="utf-8"?>
<sst xmlns="http://schemas.openxmlformats.org/spreadsheetml/2006/main" count="1145" uniqueCount="363">
  <si>
    <t>Slepý stavební rozpočet</t>
  </si>
  <si>
    <t>Název stavby:</t>
  </si>
  <si>
    <t>Oprava střechy bloku B2</t>
  </si>
  <si>
    <t>Doba výstavby:</t>
  </si>
  <si>
    <t xml:space="preserve"> </t>
  </si>
  <si>
    <t>Objednatel:</t>
  </si>
  <si>
    <t> </t>
  </si>
  <si>
    <t>Druh stavby:</t>
  </si>
  <si>
    <t>Začátek výstavby:</t>
  </si>
  <si>
    <t>Projektant:</t>
  </si>
  <si>
    <t>Lokalita:</t>
  </si>
  <si>
    <t>Centrum sociálních služeb pro seniory Pohoda, Okružní 1779/16, 792 01 Bruntál</t>
  </si>
  <si>
    <t>Konec výstavby:</t>
  </si>
  <si>
    <t>Zhotovitel:</t>
  </si>
  <si>
    <t>JKSO:</t>
  </si>
  <si>
    <t>Zpracováno dne:</t>
  </si>
  <si>
    <t>Zpracoval:</t>
  </si>
  <si>
    <t>Č</t>
  </si>
  <si>
    <t>Kód</t>
  </si>
  <si>
    <t>Zkrácený popis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</si>
  <si>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</si>
  <si>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</si>
  <si>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</si>
  <si>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</si>
  <si>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</si>
  <si>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</si>
  <si>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</si>
  <si>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</si>
  <si>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</si>
  <si>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</si>
  <si>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</si>
  <si>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</si>
  <si>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</si>
  <si>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</si>
  <si>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</si>
  <si>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</si>
  <si>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</si>
  <si>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</si>
  <si>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</si>
  <si>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</si>
  <si>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</si>
  <si>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</si>
  <si>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</si>
  <si>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</si>
  <si>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</si>
  <si>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</si>
  <si>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</si>
  <si>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11</t>
  </si>
  <si>
    <t>Přípravné a přidružené práce</t>
  </si>
  <si>
    <t>1</t>
  </si>
  <si>
    <t>113106121R00</t>
  </si>
  <si>
    <t>Rozebrání dlažeb z betonových dlaždic na sucho</t>
  </si>
  <si>
    <t>m2</t>
  </si>
  <si>
    <t>RTS I / 2024</t>
  </si>
  <si>
    <t>11_</t>
  </si>
  <si>
    <t>1_</t>
  </si>
  <si>
    <t>_</t>
  </si>
  <si>
    <t>62</t>
  </si>
  <si>
    <t>Úprava povrchů vnější</t>
  </si>
  <si>
    <t>2</t>
  </si>
  <si>
    <t>622904112R00</t>
  </si>
  <si>
    <t>Očištění fasád tlakovou vodou složitost 1 - 2</t>
  </si>
  <si>
    <t>62_</t>
  </si>
  <si>
    <t>6_</t>
  </si>
  <si>
    <t>3</t>
  </si>
  <si>
    <t>622323041R00</t>
  </si>
  <si>
    <t>Penetrace podkladu</t>
  </si>
  <si>
    <t>4</t>
  </si>
  <si>
    <t>622481211RT3</t>
  </si>
  <si>
    <t>Montáž výztužné sítě(perlinky)do stěrky-vněj.stěny, včetně výztužné sítě a stěrkového tmelu</t>
  </si>
  <si>
    <t>5</t>
  </si>
  <si>
    <t>6224711FC</t>
  </si>
  <si>
    <t>Potažení stěn druhou vrstvou tmele</t>
  </si>
  <si>
    <t>6</t>
  </si>
  <si>
    <t>781101111R00</t>
  </si>
  <si>
    <t>Vyrovnání podkladu tmelem ze SMS tl. do 5 mm - římsy a bet. povrchy šachet nad střehou</t>
  </si>
  <si>
    <t>64</t>
  </si>
  <si>
    <t>Výplně otvorů</t>
  </si>
  <si>
    <t>7</t>
  </si>
  <si>
    <t>642942111R00</t>
  </si>
  <si>
    <t>Osazení zárubní dveřních ocelových, pl. do 2,5 m2</t>
  </si>
  <si>
    <t>kus</t>
  </si>
  <si>
    <t>64_</t>
  </si>
  <si>
    <t>8</t>
  </si>
  <si>
    <t>6116550FC</t>
  </si>
  <si>
    <t>Dveře hliníkové, plné, 90 x 200 cm, RAL 9016, se zárubní</t>
  </si>
  <si>
    <t>9</t>
  </si>
  <si>
    <t>767646510R00</t>
  </si>
  <si>
    <t>Montáž dveřních křídel, jednokřídlových</t>
  </si>
  <si>
    <t>712</t>
  </si>
  <si>
    <t>Izolace střech (živičné krytiny)</t>
  </si>
  <si>
    <t>10</t>
  </si>
  <si>
    <t>712378101RT2</t>
  </si>
  <si>
    <t>Komínek odvětrání kanalizace s manžetou PVC, dn 150mm</t>
  </si>
  <si>
    <t>712_</t>
  </si>
  <si>
    <t>71_</t>
  </si>
  <si>
    <t>712372111RS1</t>
  </si>
  <si>
    <t>Provedení povlakové krytiny střech do 10°, fólií kotvenou do betonového podkladu, 4 kotvy/m2, pro tloušťku tepelné izolace do 160 mm, fólie ve specifi</t>
  </si>
  <si>
    <t>12</t>
  </si>
  <si>
    <t>283221051</t>
  </si>
  <si>
    <t>Fólie hydroizolační PVC-P, tl. 2,0 mm, střešní</t>
  </si>
  <si>
    <t>13</t>
  </si>
  <si>
    <t>712391171RZ7</t>
  </si>
  <si>
    <t>Položení podkladní textilie na střechách do 10°, 1 vrstva - včetně dodávky textilie</t>
  </si>
  <si>
    <t>14</t>
  </si>
  <si>
    <t>712378104RT5</t>
  </si>
  <si>
    <t>Prostup pro a vpusť s manžetou PVC</t>
  </si>
  <si>
    <t>15</t>
  </si>
  <si>
    <t>712378001R00</t>
  </si>
  <si>
    <t>Atiková okapnice VIPLANYL rš 150 mm</t>
  </si>
  <si>
    <t>m</t>
  </si>
  <si>
    <t>16</t>
  </si>
  <si>
    <t>712378007R00</t>
  </si>
  <si>
    <t>Rohová lišta vnitřní VIPLANYL rš 100 mm</t>
  </si>
  <si>
    <t>17</t>
  </si>
  <si>
    <t>712378004R00</t>
  </si>
  <si>
    <t>Závětrná lišta VIPLANYL rš 250 mm</t>
  </si>
  <si>
    <t>18</t>
  </si>
  <si>
    <t>712378110R00</t>
  </si>
  <si>
    <t>Vnitřní rohová tvarovka Alkorplan</t>
  </si>
  <si>
    <t>19</t>
  </si>
  <si>
    <t>712378111R00</t>
  </si>
  <si>
    <t>Vnější rohová tvarovka Alkorplan</t>
  </si>
  <si>
    <t>20</t>
  </si>
  <si>
    <t>998712202R00</t>
  </si>
  <si>
    <t>Přesun hmot pro povlakové krytiny, výšky do 24 m</t>
  </si>
  <si>
    <t>%</t>
  </si>
  <si>
    <t>713</t>
  </si>
  <si>
    <t>Izolace tepelné</t>
  </si>
  <si>
    <t>21</t>
  </si>
  <si>
    <t>713141361R00</t>
  </si>
  <si>
    <t>Montáž tepelné izolace střech, 2 vrstvy, 1 kotva/m2 (dočasné přichycení)</t>
  </si>
  <si>
    <t>713_</t>
  </si>
  <si>
    <t>22</t>
  </si>
  <si>
    <t>283764193</t>
  </si>
  <si>
    <t>Deska polystyrénová, střešní EPS 100 2000x1000x70mm</t>
  </si>
  <si>
    <t>23</t>
  </si>
  <si>
    <t>998713203R00</t>
  </si>
  <si>
    <t>Přesun hmot pro izolace tepelné, výšky do 24 m</t>
  </si>
  <si>
    <t>728</t>
  </si>
  <si>
    <t>Vzduchotechnika</t>
  </si>
  <si>
    <t>24</t>
  </si>
  <si>
    <t>728615823R00</t>
  </si>
  <si>
    <t>Demontáž ventilátoru axiálního středotlakého  do d 400 mm</t>
  </si>
  <si>
    <t>728_</t>
  </si>
  <si>
    <t>72_</t>
  </si>
  <si>
    <t>25</t>
  </si>
  <si>
    <t>728614214R00</t>
  </si>
  <si>
    <t>Montáž ventilátoru axiálního nízkotlakového do d 400 mm</t>
  </si>
  <si>
    <t>26</t>
  </si>
  <si>
    <t>728618214R00</t>
  </si>
  <si>
    <t>Ventilační turbína Lomanco, Al hlavice</t>
  </si>
  <si>
    <t>27</t>
  </si>
  <si>
    <t>998728203R00</t>
  </si>
  <si>
    <t>Přesun hmot pro vzduchotechniku, výšky do 24 m</t>
  </si>
  <si>
    <t>764</t>
  </si>
  <si>
    <t>Konstrukce klempířské</t>
  </si>
  <si>
    <t>28</t>
  </si>
  <si>
    <t>764321820R00</t>
  </si>
  <si>
    <t>Demontáž oplechování říms, rš 500 mm, do 30°</t>
  </si>
  <si>
    <t>764_</t>
  </si>
  <si>
    <t>76_</t>
  </si>
  <si>
    <t>29</t>
  </si>
  <si>
    <t>764345831R00</t>
  </si>
  <si>
    <t>Demontáž ventilačních nástavců D do 150 mm,</t>
  </si>
  <si>
    <t>30</t>
  </si>
  <si>
    <t>764814770R00</t>
  </si>
  <si>
    <t>Ventilační nástavce,lak.Pz,hladká krytina,D 150 mm</t>
  </si>
  <si>
    <t>31</t>
  </si>
  <si>
    <t>764454202R00</t>
  </si>
  <si>
    <t>Odpadní trouby z Pz plechu, kruhové, D 100 mm</t>
  </si>
  <si>
    <t>32</t>
  </si>
  <si>
    <t>764454801R00</t>
  </si>
  <si>
    <t>Demontáž odpadních trub kruhových, D 75 a 100 mm</t>
  </si>
  <si>
    <t>33</t>
  </si>
  <si>
    <t>764311841RT1</t>
  </si>
  <si>
    <t>Demontáž  krytiny z ventilačních šachet</t>
  </si>
  <si>
    <t>34</t>
  </si>
  <si>
    <t>998764203R00</t>
  </si>
  <si>
    <t>Přesun hmot pro klempířské konstr., výšky do 24 m</t>
  </si>
  <si>
    <t>783</t>
  </si>
  <si>
    <t>Nátěry</t>
  </si>
  <si>
    <t>35</t>
  </si>
  <si>
    <t>783101811R00</t>
  </si>
  <si>
    <t>Odstranění nátěrů z ocel.konstrukcí "A" oškrábáním</t>
  </si>
  <si>
    <t>783_</t>
  </si>
  <si>
    <t>78_</t>
  </si>
  <si>
    <t>36</t>
  </si>
  <si>
    <t>783172510R00</t>
  </si>
  <si>
    <t>Nátěr polyuretanový OK "A" 2x + 2x email</t>
  </si>
  <si>
    <t>90</t>
  </si>
  <si>
    <t>Hodinové zúčtovací sazby (HZS)</t>
  </si>
  <si>
    <t>37</t>
  </si>
  <si>
    <t>900      R00</t>
  </si>
  <si>
    <t>HZS za neúkolovatelné práce - odhad, bude účtováno dle skutečnosti</t>
  </si>
  <si>
    <t>h</t>
  </si>
  <si>
    <t>90_</t>
  </si>
  <si>
    <t>9_</t>
  </si>
  <si>
    <t>38</t>
  </si>
  <si>
    <t>900      R24</t>
  </si>
  <si>
    <t>HZS - elektro - odpojení stávajících ventilátorů</t>
  </si>
  <si>
    <t>94</t>
  </si>
  <si>
    <t>Lešení a stavební výtahy</t>
  </si>
  <si>
    <t>39</t>
  </si>
  <si>
    <t>941941031R00</t>
  </si>
  <si>
    <t>Montáž lešení leh.řad.s podlahami,š.do 1 m, H 10 m</t>
  </si>
  <si>
    <t>94_</t>
  </si>
  <si>
    <t>40</t>
  </si>
  <si>
    <t>941941111R00</t>
  </si>
  <si>
    <t>Pronájem lešení za den - předpoklad 10 dní</t>
  </si>
  <si>
    <t>41</t>
  </si>
  <si>
    <t>941941831R00</t>
  </si>
  <si>
    <t>Demontáž lešení leh.řad.s podlahami,š.1 m, H 10 m</t>
  </si>
  <si>
    <t>42</t>
  </si>
  <si>
    <t>941941502R00</t>
  </si>
  <si>
    <t>Doprava lešení pronaj-dovoz a odvoz sady do 250m2</t>
  </si>
  <si>
    <t>km</t>
  </si>
  <si>
    <t>43</t>
  </si>
  <si>
    <t>941955002R00</t>
  </si>
  <si>
    <t>Lešení lehké pomocné, výška podlahy do 1,9 m</t>
  </si>
  <si>
    <t>95</t>
  </si>
  <si>
    <t>Různé dokončovací konstrukce a práce na pozemních stavbách</t>
  </si>
  <si>
    <t>44</t>
  </si>
  <si>
    <t>952902110R00</t>
  </si>
  <si>
    <t>Zametání střech</t>
  </si>
  <si>
    <t>95_</t>
  </si>
  <si>
    <t>96</t>
  </si>
  <si>
    <t>Bourání konstrukcí</t>
  </si>
  <si>
    <t>45</t>
  </si>
  <si>
    <t>966077151R00</t>
  </si>
  <si>
    <t>Odstranění doplňkových konstrukcí do 1000 kg - lávka z pororoštu vč. zábradlí</t>
  </si>
  <si>
    <t>96_</t>
  </si>
  <si>
    <t>46</t>
  </si>
  <si>
    <t>968071126R00</t>
  </si>
  <si>
    <t>Vyvěšení, zavěšení kovových křídel dveří nad 2 m2</t>
  </si>
  <si>
    <t>47</t>
  </si>
  <si>
    <t>968072456R00</t>
  </si>
  <si>
    <t>Vybourání kovových dveřních zárubní pl. nad 2 m2</t>
  </si>
  <si>
    <t>97</t>
  </si>
  <si>
    <t>Prorážení otvorů a ostatní bourací práce</t>
  </si>
  <si>
    <t>48</t>
  </si>
  <si>
    <t>970251150R00</t>
  </si>
  <si>
    <t>Řezání železobetonu hl. řezu 150 mm - pro nové hliníkové dveře</t>
  </si>
  <si>
    <t>97_</t>
  </si>
  <si>
    <t>H01</t>
  </si>
  <si>
    <t>Budovy občanské výstavby</t>
  </si>
  <si>
    <t>49</t>
  </si>
  <si>
    <t>998011002R00</t>
  </si>
  <si>
    <t>Přesun hmot pro budovy zděné výšky do 12 m</t>
  </si>
  <si>
    <t>t</t>
  </si>
  <si>
    <t>H01_</t>
  </si>
  <si>
    <t>S</t>
  </si>
  <si>
    <t>Přesuny sutí</t>
  </si>
  <si>
    <t>50</t>
  </si>
  <si>
    <t>979082111R00</t>
  </si>
  <si>
    <t>Vnitrostaveništní doprava suti do 10 m</t>
  </si>
  <si>
    <t>S_</t>
  </si>
  <si>
    <t>51</t>
  </si>
  <si>
    <t>979082121R00</t>
  </si>
  <si>
    <t>Příplatek k vnitrost. dopravě suti za dalších 5 m</t>
  </si>
  <si>
    <t>52</t>
  </si>
  <si>
    <t>979999987R00</t>
  </si>
  <si>
    <t>Poplatek za recyklaci směsi suti betonu, cihel, tašek a ker.výrobků,(170107)</t>
  </si>
  <si>
    <t>53</t>
  </si>
  <si>
    <t>979081111R00</t>
  </si>
  <si>
    <t>Odvoz suti a vybour. hmot na skládku do 1 km</t>
  </si>
  <si>
    <t>54</t>
  </si>
  <si>
    <t>979081121R00</t>
  </si>
  <si>
    <t>Příplatek k odvozu za každý další 1 km</t>
  </si>
  <si>
    <t>55</t>
  </si>
  <si>
    <t>979012112R00</t>
  </si>
  <si>
    <t>Svislá doprava suti na výšku do 3,5 m</t>
  </si>
  <si>
    <t>56</t>
  </si>
  <si>
    <t>979012119R00</t>
  </si>
  <si>
    <t>Příplatek k suti za každých dalších 3,5 m výšky</t>
  </si>
  <si>
    <t>VORN</t>
  </si>
  <si>
    <t>Vedlejší a ostatní rozpočtové náklady</t>
  </si>
  <si>
    <t>03VRN</t>
  </si>
  <si>
    <t>Zařízení staveniště</t>
  </si>
  <si>
    <t>57</t>
  </si>
  <si>
    <t>030001VRN</t>
  </si>
  <si>
    <t>Soubor</t>
  </si>
  <si>
    <t>99</t>
  </si>
  <si>
    <t>03VRN_</t>
  </si>
  <si>
    <t>Â _</t>
  </si>
  <si>
    <t>58</t>
  </si>
  <si>
    <t>031002VRN</t>
  </si>
  <si>
    <t>Přípravné práce</t>
  </si>
  <si>
    <t>59</t>
  </si>
  <si>
    <t>034002VRN</t>
  </si>
  <si>
    <t>Zabezpečení staveniště</t>
  </si>
  <si>
    <t>60</t>
  </si>
  <si>
    <t>039002VRN</t>
  </si>
  <si>
    <t>Odstranění zařízení staveniště</t>
  </si>
  <si>
    <t>Celkem:</t>
  </si>
  <si>
    <t>Poznámka:</t>
  </si>
  <si>
    <t>Slepý stavební rozpočet - rekapitulace</t>
  </si>
  <si>
    <t>Objekt</t>
  </si>
  <si>
    <t>Náklady (Kč) - dodávka</t>
  </si>
  <si>
    <t>Náklady (Kč) - Montáž</t>
  </si>
  <si>
    <t>Náklady (Kč) - celkem</t>
  </si>
  <si>
    <t>T</t>
  </si>
  <si>
    <t>F</t>
  </si>
  <si>
    <t>Krycí list slepého rozpočtu</t>
  </si>
  <si>
    <t>IČO/DIČ: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</si>
  <si>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</si>
  <si>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</si>
  <si>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</si>
  <si>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</si>
  <si>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</si>
  <si>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</si>
  <si>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</si>
  <si>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</si>
  <si>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</si>
  <si>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</si>
  <si>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</si>
  <si>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</si>
  <si>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</si>
  <si>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</si>
  <si>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</si>
  <si>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</si>
  <si>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</si>
  <si>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</si>
  <si>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</si>
  <si>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</si>
  <si>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</si>
  <si>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</si>
  <si>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</si>
  <si>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</si>
  <si>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</si>
  <si>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</si>
  <si>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</si>
  <si>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</si>
  <si>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</si>
  <si>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</si>
  <si>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</si>
  <si>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</si>
  <si>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</si>
  <si>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</si>
  <si>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</si>
  <si>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</si>
  <si>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</si>
  <si>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</si>
  <si>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</si>
  <si>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</si>
  <si>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</si>
  <si>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rozpočtové náklady VRN</t>
  </si>
  <si>
    <t>Doplňkové náklady DN</t>
  </si>
  <si>
    <t>Kč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</si>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</sst>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4" fontId="2" fillId="2" borderId="29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4" fontId="2" fillId="0" borderId="3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4" fontId="3" fillId="0" borderId="29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4" fontId="9" fillId="0" borderId="46" xfId="0" applyNumberFormat="1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8" fillId="0" borderId="49" xfId="0" applyFont="1" applyBorder="1" applyAlignment="1">
      <alignment horizontal="left" vertical="center"/>
    </xf>
    <xf numFmtId="4" fontId="9" fillId="0" borderId="53" xfId="0" applyNumberFormat="1" applyFont="1" applyBorder="1" applyAlignment="1">
      <alignment horizontal="right" vertical="center"/>
    </xf>
    <xf numFmtId="0" fontId="9" fillId="0" borderId="53" xfId="0" applyFont="1" applyBorder="1" applyAlignment="1">
      <alignment horizontal="right" vertical="center"/>
    </xf>
    <xf numFmtId="4" fontId="9" fillId="0" borderId="44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8" fillId="2" borderId="43" xfId="0" applyNumberFormat="1" applyFont="1" applyFill="1" applyBorder="1" applyAlignment="1">
      <alignment horizontal="right" vertical="center"/>
    </xf>
    <xf numFmtId="4" fontId="8" fillId="2" borderId="48" xfId="0" applyNumberFormat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left" vertical="center"/>
    </xf>
    <xf numFmtId="0" fontId="2" fillId="0" borderId="69" xfId="0" applyFont="1" applyBorder="1" applyAlignment="1">
      <alignment horizontal="right" vertical="center"/>
    </xf>
    <xf numFmtId="4" fontId="3" fillId="0" borderId="46" xfId="0" applyNumberFormat="1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4" fontId="3" fillId="0" borderId="73" xfId="0" applyNumberFormat="1" applyFont="1" applyBorder="1" applyAlignment="1">
      <alignment horizontal="right" vertical="center"/>
    </xf>
    <xf numFmtId="0" fontId="3" fillId="0" borderId="73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77" xfId="0" applyFont="1" applyBorder="1" applyAlignment="1">
      <alignment horizontal="right" vertical="center"/>
    </xf>
    <xf numFmtId="4" fontId="2" fillId="0" borderId="77" xfId="0" applyNumberFormat="1" applyFont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3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2" borderId="55" xfId="0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0" fontId="8" fillId="2" borderId="57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4" fontId="8" fillId="0" borderId="78" xfId="0" applyNumberFormat="1" applyFont="1" applyBorder="1" applyAlignment="1">
      <alignment horizontal="right" vertical="center"/>
    </xf>
    <xf numFmtId="0" fontId="8" fillId="0" borderId="75" xfId="0" applyFont="1" applyBorder="1" applyAlignment="1">
      <alignment horizontal="right" vertical="center"/>
    </xf>
    <xf numFmtId="0" fontId="8" fillId="0" borderId="76" xfId="0" applyFont="1" applyBorder="1" applyAlignment="1">
      <alignment horizontal="right" vertical="center"/>
    </xf>
    <xf numFmtId="14" fontId="3" fillId="0" borderId="0" xfId="0" applyNumberFormat="1" applyFont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F6" sqref="F6:G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71" t="s">
        <v>303</v>
      </c>
      <c r="B1" s="72"/>
      <c r="C1" s="72"/>
      <c r="D1" s="72"/>
      <c r="E1" s="72"/>
      <c r="F1" s="72"/>
      <c r="G1" s="72"/>
      <c r="H1" s="72"/>
      <c r="I1" s="72"/>
    </row>
    <row r="2" spans="1:9" x14ac:dyDescent="0.25">
      <c r="A2" s="73" t="s">
        <v>1</v>
      </c>
      <c r="B2" s="74"/>
      <c r="C2" s="83" t="str">
        <f>'Stavební rozpočet'!C2</f>
        <v>Oprava střechy bloku B2</v>
      </c>
      <c r="D2" s="84"/>
      <c r="E2" s="78" t="s">
        <v>5</v>
      </c>
      <c r="F2" s="78" t="str">
        <f>'Stavební rozpočet'!I2</f>
        <v> </v>
      </c>
      <c r="G2" s="74"/>
      <c r="H2" s="78" t="s">
        <v>304</v>
      </c>
      <c r="I2" s="80" t="s">
        <v>46</v>
      </c>
    </row>
    <row r="3" spans="1:9" ht="15" customHeight="1" x14ac:dyDescent="0.25">
      <c r="A3" s="75"/>
      <c r="B3" s="76"/>
      <c r="C3" s="85"/>
      <c r="D3" s="85"/>
      <c r="E3" s="76"/>
      <c r="F3" s="76"/>
      <c r="G3" s="76"/>
      <c r="H3" s="76"/>
      <c r="I3" s="81"/>
    </row>
    <row r="4" spans="1:9" x14ac:dyDescent="0.25">
      <c r="A4" s="77" t="s">
        <v>7</v>
      </c>
      <c r="B4" s="76"/>
      <c r="C4" s="79" t="str">
        <f>'Stavební rozpočet'!C4</f>
        <v xml:space="preserve"> </v>
      </c>
      <c r="D4" s="76"/>
      <c r="E4" s="79" t="s">
        <v>9</v>
      </c>
      <c r="F4" s="79" t="str">
        <f>'Stavební rozpočet'!I4</f>
        <v> </v>
      </c>
      <c r="G4" s="76"/>
      <c r="H4" s="79" t="s">
        <v>304</v>
      </c>
      <c r="I4" s="81" t="s">
        <v>46</v>
      </c>
    </row>
    <row r="5" spans="1:9" ht="15" customHeight="1" x14ac:dyDescent="0.25">
      <c r="A5" s="75"/>
      <c r="B5" s="76"/>
      <c r="C5" s="76"/>
      <c r="D5" s="76"/>
      <c r="E5" s="76"/>
      <c r="F5" s="76"/>
      <c r="G5" s="76"/>
      <c r="H5" s="76"/>
      <c r="I5" s="81"/>
    </row>
    <row r="6" spans="1:9" x14ac:dyDescent="0.25">
      <c r="A6" s="77" t="s">
        <v>10</v>
      </c>
      <c r="B6" s="76"/>
      <c r="C6" s="79" t="str">
        <f>'Stavební rozpočet'!C6</f>
        <v>Centrum sociálních služeb pro seniory Pohoda, Okružní 1779/16, 792 01 Bruntál</v>
      </c>
      <c r="D6" s="76"/>
      <c r="E6" s="79" t="s">
        <v>13</v>
      </c>
      <c r="F6" s="79" t="str">
        <f>'Stavební rozpočet'!I6</f>
        <v> </v>
      </c>
      <c r="G6" s="76"/>
      <c r="H6" s="79" t="s">
        <v>304</v>
      </c>
      <c r="I6" s="81" t="s">
        <v>46</v>
      </c>
    </row>
    <row r="7" spans="1:9" ht="25.5" customHeight="1" x14ac:dyDescent="0.25">
      <c r="A7" s="75"/>
      <c r="B7" s="76"/>
      <c r="C7" s="76"/>
      <c r="D7" s="76"/>
      <c r="E7" s="76"/>
      <c r="F7" s="76"/>
      <c r="G7" s="76"/>
      <c r="H7" s="76"/>
      <c r="I7" s="81"/>
    </row>
    <row r="8" spans="1:9" x14ac:dyDescent="0.25">
      <c r="A8" s="77" t="s">
        <v>8</v>
      </c>
      <c r="B8" s="76"/>
      <c r="C8" s="79"/>
      <c r="D8" s="76"/>
      <c r="E8" s="79" t="s">
        <v>12</v>
      </c>
      <c r="F8" s="79" t="str">
        <f>'Stavební rozpočet'!G6</f>
        <v xml:space="preserve"> </v>
      </c>
      <c r="G8" s="76"/>
      <c r="H8" s="76" t="s">
        <v>305</v>
      </c>
      <c r="I8" s="82">
        <v>60</v>
      </c>
    </row>
    <row r="9" spans="1:9" x14ac:dyDescent="0.25">
      <c r="A9" s="75"/>
      <c r="B9" s="76"/>
      <c r="C9" s="76"/>
      <c r="D9" s="76"/>
      <c r="E9" s="76"/>
      <c r="F9" s="76"/>
      <c r="G9" s="76"/>
      <c r="H9" s="76"/>
      <c r="I9" s="81"/>
    </row>
    <row r="10" spans="1:9" x14ac:dyDescent="0.25">
      <c r="A10" s="77" t="s">
        <v>14</v>
      </c>
      <c r="B10" s="76"/>
      <c r="C10" s="79" t="str">
        <f>'Stavební rozpočet'!C8</f>
        <v xml:space="preserve"> </v>
      </c>
      <c r="D10" s="76"/>
      <c r="E10" s="79" t="s">
        <v>16</v>
      </c>
      <c r="F10" s="79" t="str">
        <f>'Stavební rozpočet'!I8</f>
        <v> </v>
      </c>
      <c r="G10" s="76"/>
      <c r="H10" s="76" t="s">
        <v>306</v>
      </c>
      <c r="I10" s="162"/>
    </row>
    <row r="11" spans="1:9" x14ac:dyDescent="0.25">
      <c r="A11" s="92"/>
      <c r="B11" s="86"/>
      <c r="C11" s="86"/>
      <c r="D11" s="86"/>
      <c r="E11" s="86"/>
      <c r="F11" s="86"/>
      <c r="G11" s="86"/>
      <c r="H11" s="86"/>
      <c r="I11" s="163"/>
    </row>
    <row r="12" spans="1:9" ht="23.25" x14ac:dyDescent="0.25">
      <c r="A12" s="89" t="s">
        <v>307</v>
      </c>
      <c r="B12" s="89"/>
      <c r="C12" s="89"/>
      <c r="D12" s="89"/>
      <c r="E12" s="89"/>
      <c r="F12" s="89"/>
      <c r="G12" s="89"/>
      <c r="H12" s="89"/>
      <c r="I12" s="89"/>
    </row>
    <row r="13" spans="1:9" ht="26.25" customHeight="1" x14ac:dyDescent="0.25">
      <c r="A13" s="47" t="s">
        <v>308</v>
      </c>
      <c r="B13" s="90" t="s">
        <v>309</v>
      </c>
      <c r="C13" s="91"/>
      <c r="D13" s="48" t="s">
        <v>310</v>
      </c>
      <c r="E13" s="90" t="s">
        <v>311</v>
      </c>
      <c r="F13" s="91"/>
      <c r="G13" s="48" t="s">
        <v>312</v>
      </c>
      <c r="H13" s="90" t="s">
        <v>313</v>
      </c>
      <c r="I13" s="91"/>
    </row>
    <row r="14" spans="1:9" ht="15.75" x14ac:dyDescent="0.25">
      <c r="A14" s="49" t="s">
        <v>314</v>
      </c>
      <c r="B14" s="50" t="s">
        <v>315</v>
      </c>
      <c r="C14" s="51">
        <f>SUM('Stavební rozpočet'!AB12:AB88)</f>
        <v>0</v>
      </c>
      <c r="D14" s="99" t="s">
        <v>316</v>
      </c>
      <c r="E14" s="100"/>
      <c r="F14" s="51">
        <f>VORN!I15</f>
        <v>0</v>
      </c>
      <c r="G14" s="99" t="s">
        <v>278</v>
      </c>
      <c r="H14" s="100"/>
      <c r="I14" s="52">
        <f>VORN!I21</f>
        <v>0</v>
      </c>
    </row>
    <row r="15" spans="1:9" ht="15.75" x14ac:dyDescent="0.25">
      <c r="A15" s="53" t="s">
        <v>46</v>
      </c>
      <c r="B15" s="50" t="s">
        <v>31</v>
      </c>
      <c r="C15" s="51">
        <f>SUM('Stavební rozpočet'!AC12:AC88)</f>
        <v>0</v>
      </c>
      <c r="D15" s="99" t="s">
        <v>317</v>
      </c>
      <c r="E15" s="100"/>
      <c r="F15" s="51">
        <f>VORN!I16</f>
        <v>0</v>
      </c>
      <c r="G15" s="99" t="s">
        <v>318</v>
      </c>
      <c r="H15" s="100"/>
      <c r="I15" s="52">
        <f>VORN!I22</f>
        <v>0</v>
      </c>
    </row>
    <row r="16" spans="1:9" ht="15.75" x14ac:dyDescent="0.25">
      <c r="A16" s="49" t="s">
        <v>319</v>
      </c>
      <c r="B16" s="50" t="s">
        <v>315</v>
      </c>
      <c r="C16" s="51">
        <f>SUM('Stavební rozpočet'!AD12:AD88)</f>
        <v>0</v>
      </c>
      <c r="D16" s="99" t="s">
        <v>320</v>
      </c>
      <c r="E16" s="100"/>
      <c r="F16" s="51">
        <f>VORN!I17</f>
        <v>0</v>
      </c>
      <c r="G16" s="99" t="s">
        <v>321</v>
      </c>
      <c r="H16" s="100"/>
      <c r="I16" s="52">
        <f>VORN!I23</f>
        <v>0</v>
      </c>
    </row>
    <row r="17" spans="1:9" ht="15.75" x14ac:dyDescent="0.25">
      <c r="A17" s="53" t="s">
        <v>46</v>
      </c>
      <c r="B17" s="50" t="s">
        <v>31</v>
      </c>
      <c r="C17" s="51">
        <f>SUM('Stavební rozpočet'!AE12:AE88)</f>
        <v>0</v>
      </c>
      <c r="D17" s="99" t="s">
        <v>46</v>
      </c>
      <c r="E17" s="100"/>
      <c r="F17" s="52" t="s">
        <v>46</v>
      </c>
      <c r="G17" s="99" t="s">
        <v>322</v>
      </c>
      <c r="H17" s="100"/>
      <c r="I17" s="52">
        <f>VORN!I24</f>
        <v>0</v>
      </c>
    </row>
    <row r="18" spans="1:9" ht="15.75" x14ac:dyDescent="0.25">
      <c r="A18" s="49" t="s">
        <v>323</v>
      </c>
      <c r="B18" s="50" t="s">
        <v>315</v>
      </c>
      <c r="C18" s="51">
        <f>SUM('Stavební rozpočet'!AF12:AF88)</f>
        <v>0</v>
      </c>
      <c r="D18" s="99" t="s">
        <v>46</v>
      </c>
      <c r="E18" s="100"/>
      <c r="F18" s="52" t="s">
        <v>46</v>
      </c>
      <c r="G18" s="99" t="s">
        <v>324</v>
      </c>
      <c r="H18" s="100"/>
      <c r="I18" s="52">
        <f>VORN!I25</f>
        <v>0</v>
      </c>
    </row>
    <row r="19" spans="1:9" ht="15.75" x14ac:dyDescent="0.25">
      <c r="A19" s="53" t="s">
        <v>46</v>
      </c>
      <c r="B19" s="50" t="s">
        <v>31</v>
      </c>
      <c r="C19" s="51">
        <f>SUM('Stavební rozpočet'!AG12:AG88)</f>
        <v>0</v>
      </c>
      <c r="D19" s="99" t="s">
        <v>46</v>
      </c>
      <c r="E19" s="100"/>
      <c r="F19" s="52" t="s">
        <v>46</v>
      </c>
      <c r="G19" s="99" t="s">
        <v>325</v>
      </c>
      <c r="H19" s="100"/>
      <c r="I19" s="52">
        <f>VORN!I26</f>
        <v>0</v>
      </c>
    </row>
    <row r="20" spans="1:9" ht="15.75" x14ac:dyDescent="0.25">
      <c r="A20" s="93" t="s">
        <v>326</v>
      </c>
      <c r="B20" s="94"/>
      <c r="C20" s="51">
        <f>SUM('Stavební rozpočet'!AH12:AH88)</f>
        <v>0</v>
      </c>
      <c r="D20" s="99" t="s">
        <v>46</v>
      </c>
      <c r="E20" s="100"/>
      <c r="F20" s="52" t="s">
        <v>46</v>
      </c>
      <c r="G20" s="99" t="s">
        <v>46</v>
      </c>
      <c r="H20" s="100"/>
      <c r="I20" s="52" t="s">
        <v>46</v>
      </c>
    </row>
    <row r="21" spans="1:9" ht="15.75" x14ac:dyDescent="0.25">
      <c r="A21" s="95" t="s">
        <v>327</v>
      </c>
      <c r="B21" s="96"/>
      <c r="C21" s="54">
        <f>SUM('Stavební rozpočet'!Z12:Z88)</f>
        <v>0</v>
      </c>
      <c r="D21" s="101" t="s">
        <v>46</v>
      </c>
      <c r="E21" s="102"/>
      <c r="F21" s="55" t="s">
        <v>46</v>
      </c>
      <c r="G21" s="101" t="s">
        <v>46</v>
      </c>
      <c r="H21" s="102"/>
      <c r="I21" s="55" t="s">
        <v>46</v>
      </c>
    </row>
    <row r="22" spans="1:9" ht="16.5" customHeight="1" x14ac:dyDescent="0.25">
      <c r="A22" s="97" t="s">
        <v>328</v>
      </c>
      <c r="B22" s="98"/>
      <c r="C22" s="56">
        <f>ROUND(SUM(C14:C21),0)</f>
        <v>0</v>
      </c>
      <c r="D22" s="103" t="s">
        <v>329</v>
      </c>
      <c r="E22" s="98"/>
      <c r="F22" s="56">
        <f>SUM(F14:F21)</f>
        <v>0</v>
      </c>
      <c r="G22" s="103" t="s">
        <v>330</v>
      </c>
      <c r="H22" s="98"/>
      <c r="I22" s="56">
        <f>SUM(I14:I21)</f>
        <v>0</v>
      </c>
    </row>
    <row r="23" spans="1:9" ht="15.75" x14ac:dyDescent="0.25">
      <c r="D23" s="93" t="s">
        <v>331</v>
      </c>
      <c r="E23" s="94"/>
      <c r="F23" s="57">
        <v>0</v>
      </c>
      <c r="G23" s="104" t="s">
        <v>332</v>
      </c>
      <c r="H23" s="94"/>
      <c r="I23" s="51">
        <v>0</v>
      </c>
    </row>
    <row r="24" spans="1:9" ht="15.75" x14ac:dyDescent="0.25">
      <c r="G24" s="93" t="s">
        <v>333</v>
      </c>
      <c r="H24" s="94"/>
      <c r="I24" s="54">
        <f>vorn_sum</f>
        <v>0</v>
      </c>
    </row>
    <row r="25" spans="1:9" ht="15.75" x14ac:dyDescent="0.25">
      <c r="G25" s="93" t="s">
        <v>334</v>
      </c>
      <c r="H25" s="94"/>
      <c r="I25" s="56">
        <v>0</v>
      </c>
    </row>
    <row r="27" spans="1:9" ht="15.75" x14ac:dyDescent="0.25">
      <c r="A27" s="105" t="s">
        <v>335</v>
      </c>
      <c r="B27" s="106"/>
      <c r="C27" s="58">
        <f>ROUND(SUM('Stavební rozpočet'!AJ12:AJ88),0)</f>
        <v>0</v>
      </c>
    </row>
    <row r="28" spans="1:9" ht="15.75" x14ac:dyDescent="0.25">
      <c r="A28" s="107" t="s">
        <v>336</v>
      </c>
      <c r="B28" s="108"/>
      <c r="C28" s="59">
        <f>ROUND(SUM('Stavební rozpočet'!AK12:AK88),0)</f>
        <v>0</v>
      </c>
      <c r="D28" s="109" t="s">
        <v>337</v>
      </c>
      <c r="E28" s="106"/>
      <c r="F28" s="58">
        <f>ROUND(C28*(12/100),2)</f>
        <v>0</v>
      </c>
      <c r="G28" s="109" t="s">
        <v>338</v>
      </c>
      <c r="H28" s="106"/>
      <c r="I28" s="58">
        <f>ROUND(SUM(C27:C29),0)</f>
        <v>0</v>
      </c>
    </row>
    <row r="29" spans="1:9" ht="15.75" x14ac:dyDescent="0.25">
      <c r="A29" s="107" t="s">
        <v>339</v>
      </c>
      <c r="B29" s="108"/>
      <c r="C29" s="59">
        <f>ROUND(SUM('Stavební rozpočet'!AL12:AL88),0)</f>
        <v>0</v>
      </c>
      <c r="D29" s="110" t="s">
        <v>340</v>
      </c>
      <c r="E29" s="108"/>
      <c r="F29" s="59">
        <f>ROUND(C29*(21/100),2)</f>
        <v>0</v>
      </c>
      <c r="G29" s="110" t="s">
        <v>341</v>
      </c>
      <c r="H29" s="108"/>
      <c r="I29" s="59">
        <f>ROUND(SUM(F28:F29)+I28,0)</f>
        <v>0</v>
      </c>
    </row>
    <row r="31" spans="1:9" x14ac:dyDescent="0.25">
      <c r="A31" s="120" t="s">
        <v>342</v>
      </c>
      <c r="B31" s="112"/>
      <c r="C31" s="113"/>
      <c r="D31" s="111" t="s">
        <v>343</v>
      </c>
      <c r="E31" s="112"/>
      <c r="F31" s="113"/>
      <c r="G31" s="111" t="s">
        <v>344</v>
      </c>
      <c r="H31" s="112"/>
      <c r="I31" s="113"/>
    </row>
    <row r="32" spans="1:9" x14ac:dyDescent="0.25">
      <c r="A32" s="121" t="s">
        <v>46</v>
      </c>
      <c r="B32" s="115"/>
      <c r="C32" s="116"/>
      <c r="D32" s="114" t="s">
        <v>46</v>
      </c>
      <c r="E32" s="115"/>
      <c r="F32" s="116"/>
      <c r="G32" s="114" t="s">
        <v>46</v>
      </c>
      <c r="H32" s="115"/>
      <c r="I32" s="116"/>
    </row>
    <row r="33" spans="1:9" x14ac:dyDescent="0.25">
      <c r="A33" s="121" t="s">
        <v>46</v>
      </c>
      <c r="B33" s="115"/>
      <c r="C33" s="116"/>
      <c r="D33" s="114" t="s">
        <v>46</v>
      </c>
      <c r="E33" s="115"/>
      <c r="F33" s="116"/>
      <c r="G33" s="114" t="s">
        <v>46</v>
      </c>
      <c r="H33" s="115"/>
      <c r="I33" s="116"/>
    </row>
    <row r="34" spans="1:9" x14ac:dyDescent="0.25">
      <c r="A34" s="121" t="s">
        <v>46</v>
      </c>
      <c r="B34" s="115"/>
      <c r="C34" s="116"/>
      <c r="D34" s="114" t="s">
        <v>46</v>
      </c>
      <c r="E34" s="115"/>
      <c r="F34" s="116"/>
      <c r="G34" s="114" t="s">
        <v>46</v>
      </c>
      <c r="H34" s="115"/>
      <c r="I34" s="116"/>
    </row>
    <row r="35" spans="1:9" x14ac:dyDescent="0.25">
      <c r="A35" s="122" t="s">
        <v>345</v>
      </c>
      <c r="B35" s="118"/>
      <c r="C35" s="119"/>
      <c r="D35" s="117" t="s">
        <v>345</v>
      </c>
      <c r="E35" s="118"/>
      <c r="F35" s="119"/>
      <c r="G35" s="117" t="s">
        <v>345</v>
      </c>
      <c r="H35" s="118"/>
      <c r="I35" s="119"/>
    </row>
    <row r="36" spans="1:9" x14ac:dyDescent="0.25">
      <c r="A36" s="60" t="s">
        <v>295</v>
      </c>
    </row>
    <row r="37" spans="1:9" ht="12.75" customHeight="1" x14ac:dyDescent="0.25">
      <c r="A37" s="79" t="s">
        <v>46</v>
      </c>
      <c r="B37" s="76"/>
      <c r="C37" s="76"/>
      <c r="D37" s="76"/>
      <c r="E37" s="76"/>
      <c r="F37" s="76"/>
      <c r="G37" s="76"/>
      <c r="H37" s="76"/>
      <c r="I37" s="76"/>
    </row>
  </sheetData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A10:B11"/>
    <mergeCell ref="H2:H3"/>
    <mergeCell ref="H4:H5"/>
    <mergeCell ref="H6:H7"/>
    <mergeCell ref="H8:H9"/>
    <mergeCell ref="H10:H11"/>
    <mergeCell ref="C8:D9"/>
    <mergeCell ref="C10:D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workbookViewId="0">
      <pane ySplit="11" topLeftCell="A12" activePane="bottomLeft" state="frozen"/>
      <selection pane="bottomLeft" activeCell="K10" sqref="K10"/>
    </sheetView>
  </sheetViews>
  <sheetFormatPr defaultColWidth="12.140625" defaultRowHeight="15" customHeight="1" x14ac:dyDescent="0.25"/>
  <cols>
    <col min="1" max="2" width="8.5703125" customWidth="1"/>
    <col min="3" max="3" width="71.42578125" customWidth="1"/>
    <col min="4" max="4" width="12.140625" customWidth="1"/>
    <col min="5" max="7" width="27.85546875" customWidth="1"/>
    <col min="8" max="9" width="0" hidden="1" customWidth="1"/>
  </cols>
  <sheetData>
    <row r="1" spans="1:9" ht="54.75" customHeight="1" x14ac:dyDescent="0.25">
      <c r="A1" s="72" t="s">
        <v>296</v>
      </c>
      <c r="B1" s="72"/>
      <c r="C1" s="72"/>
      <c r="D1" s="72"/>
      <c r="E1" s="72"/>
      <c r="F1" s="72"/>
      <c r="G1" s="72"/>
    </row>
    <row r="2" spans="1:9" x14ac:dyDescent="0.25">
      <c r="A2" s="73" t="s">
        <v>1</v>
      </c>
      <c r="B2" s="74"/>
      <c r="C2" s="83" t="str">
        <f>'Stavební rozpočet'!C2</f>
        <v>Oprava střechy bloku B2</v>
      </c>
      <c r="D2" s="74" t="s">
        <v>3</v>
      </c>
      <c r="E2" s="74" t="s">
        <v>4</v>
      </c>
      <c r="F2" s="78" t="s">
        <v>5</v>
      </c>
      <c r="G2" s="125" t="str">
        <f>'Stavební rozpočet'!I2</f>
        <v> </v>
      </c>
    </row>
    <row r="3" spans="1:9" ht="15" customHeight="1" x14ac:dyDescent="0.25">
      <c r="A3" s="75"/>
      <c r="B3" s="76"/>
      <c r="C3" s="85"/>
      <c r="D3" s="76"/>
      <c r="E3" s="76"/>
      <c r="F3" s="76"/>
      <c r="G3" s="81"/>
    </row>
    <row r="4" spans="1:9" x14ac:dyDescent="0.25">
      <c r="A4" s="77" t="s">
        <v>7</v>
      </c>
      <c r="B4" s="76"/>
      <c r="C4" s="79" t="str">
        <f>'Stavební rozpočet'!C4</f>
        <v xml:space="preserve"> </v>
      </c>
      <c r="D4" s="76" t="s">
        <v>8</v>
      </c>
      <c r="E4" s="161"/>
      <c r="F4" s="79" t="s">
        <v>9</v>
      </c>
      <c r="G4" s="87" t="str">
        <f>'Stavební rozpočet'!I4</f>
        <v> </v>
      </c>
    </row>
    <row r="5" spans="1:9" ht="15" customHeight="1" x14ac:dyDescent="0.25">
      <c r="A5" s="75"/>
      <c r="B5" s="76"/>
      <c r="C5" s="76"/>
      <c r="D5" s="76"/>
      <c r="E5" s="76"/>
      <c r="F5" s="76"/>
      <c r="G5" s="81"/>
    </row>
    <row r="6" spans="1:9" x14ac:dyDescent="0.25">
      <c r="A6" s="77" t="s">
        <v>10</v>
      </c>
      <c r="B6" s="76"/>
      <c r="C6" s="79" t="str">
        <f>'Stavební rozpočet'!C6</f>
        <v>Centrum sociálních služeb pro seniory Pohoda, Okružní 1779/16, 792 01 Bruntál</v>
      </c>
      <c r="D6" s="76" t="s">
        <v>12</v>
      </c>
      <c r="E6" s="76" t="s">
        <v>4</v>
      </c>
      <c r="F6" s="79" t="s">
        <v>13</v>
      </c>
      <c r="G6" s="87" t="str">
        <f>'Stavební rozpočet'!I6</f>
        <v> </v>
      </c>
    </row>
    <row r="7" spans="1:9" ht="15" customHeight="1" x14ac:dyDescent="0.25">
      <c r="A7" s="75"/>
      <c r="B7" s="76"/>
      <c r="C7" s="76"/>
      <c r="D7" s="76"/>
      <c r="E7" s="76"/>
      <c r="F7" s="76"/>
      <c r="G7" s="81"/>
    </row>
    <row r="8" spans="1:9" x14ac:dyDescent="0.25">
      <c r="A8" s="77" t="s">
        <v>16</v>
      </c>
      <c r="B8" s="76"/>
      <c r="C8" s="79" t="str">
        <f>'Stavební rozpočet'!I8</f>
        <v> </v>
      </c>
      <c r="D8" s="76" t="s">
        <v>15</v>
      </c>
      <c r="E8" s="161"/>
      <c r="F8" s="76" t="s">
        <v>15</v>
      </c>
      <c r="G8" s="162"/>
    </row>
    <row r="9" spans="1:9" x14ac:dyDescent="0.25">
      <c r="A9" s="123"/>
      <c r="B9" s="124"/>
      <c r="C9" s="124"/>
      <c r="D9" s="86"/>
      <c r="E9" s="124"/>
      <c r="F9" s="124"/>
      <c r="G9" s="164"/>
    </row>
    <row r="10" spans="1:9" x14ac:dyDescent="0.25">
      <c r="A10" s="38" t="s">
        <v>297</v>
      </c>
      <c r="B10" s="39" t="s">
        <v>18</v>
      </c>
      <c r="C10" s="40" t="s">
        <v>19</v>
      </c>
      <c r="E10" s="41" t="s">
        <v>298</v>
      </c>
      <c r="F10" s="42" t="s">
        <v>299</v>
      </c>
      <c r="G10" s="42" t="s">
        <v>300</v>
      </c>
    </row>
    <row r="11" spans="1:9" x14ac:dyDescent="0.25">
      <c r="A11" s="43" t="s">
        <v>46</v>
      </c>
      <c r="B11" s="44" t="s">
        <v>47</v>
      </c>
      <c r="C11" s="76" t="s">
        <v>48</v>
      </c>
      <c r="D11" s="76"/>
      <c r="E11" s="45">
        <f>'Stavební rozpočet'!H12</f>
        <v>0</v>
      </c>
      <c r="F11" s="45">
        <f>'Stavební rozpočet'!I12</f>
        <v>0</v>
      </c>
      <c r="G11" s="45">
        <f>'Stavební rozpočet'!J12</f>
        <v>0</v>
      </c>
      <c r="H11" s="27" t="s">
        <v>301</v>
      </c>
      <c r="I11" s="25">
        <f t="shared" ref="I11:I27" si="0">IF(H11="F",0,G11)</f>
        <v>0</v>
      </c>
    </row>
    <row r="12" spans="1:9" x14ac:dyDescent="0.25">
      <c r="A12" s="2" t="s">
        <v>46</v>
      </c>
      <c r="B12" s="3" t="s">
        <v>57</v>
      </c>
      <c r="C12" s="76" t="s">
        <v>58</v>
      </c>
      <c r="D12" s="76"/>
      <c r="E12" s="25">
        <f>'Stavební rozpočet'!H14</f>
        <v>0</v>
      </c>
      <c r="F12" s="25">
        <f>'Stavební rozpočet'!I14</f>
        <v>0</v>
      </c>
      <c r="G12" s="25">
        <f>'Stavební rozpočet'!J14</f>
        <v>0</v>
      </c>
      <c r="H12" s="27" t="s">
        <v>301</v>
      </c>
      <c r="I12" s="25">
        <f t="shared" si="0"/>
        <v>0</v>
      </c>
    </row>
    <row r="13" spans="1:9" x14ac:dyDescent="0.25">
      <c r="A13" s="2" t="s">
        <v>46</v>
      </c>
      <c r="B13" s="3" t="s">
        <v>76</v>
      </c>
      <c r="C13" s="76" t="s">
        <v>77</v>
      </c>
      <c r="D13" s="76"/>
      <c r="E13" s="25">
        <f>'Stavební rozpočet'!H20</f>
        <v>0</v>
      </c>
      <c r="F13" s="25">
        <f>'Stavební rozpočet'!I20</f>
        <v>0</v>
      </c>
      <c r="G13" s="25">
        <f>'Stavební rozpočet'!J20</f>
        <v>0</v>
      </c>
      <c r="H13" s="27" t="s">
        <v>301</v>
      </c>
      <c r="I13" s="25">
        <f t="shared" si="0"/>
        <v>0</v>
      </c>
    </row>
    <row r="14" spans="1:9" x14ac:dyDescent="0.25">
      <c r="A14" s="2" t="s">
        <v>46</v>
      </c>
      <c r="B14" s="3" t="s">
        <v>89</v>
      </c>
      <c r="C14" s="76" t="s">
        <v>90</v>
      </c>
      <c r="D14" s="76"/>
      <c r="E14" s="25">
        <f>'Stavební rozpočet'!H24</f>
        <v>0</v>
      </c>
      <c r="F14" s="25">
        <f>'Stavební rozpočet'!I24</f>
        <v>0</v>
      </c>
      <c r="G14" s="25">
        <f>'Stavební rozpočet'!J24</f>
        <v>0</v>
      </c>
      <c r="H14" s="27" t="s">
        <v>301</v>
      </c>
      <c r="I14" s="25">
        <f t="shared" si="0"/>
        <v>0</v>
      </c>
    </row>
    <row r="15" spans="1:9" x14ac:dyDescent="0.25">
      <c r="A15" s="2" t="s">
        <v>46</v>
      </c>
      <c r="B15" s="3" t="s">
        <v>127</v>
      </c>
      <c r="C15" s="76" t="s">
        <v>128</v>
      </c>
      <c r="D15" s="76"/>
      <c r="E15" s="25">
        <f>'Stavební rozpočet'!H36</f>
        <v>0</v>
      </c>
      <c r="F15" s="25">
        <f>'Stavební rozpočet'!I36</f>
        <v>0</v>
      </c>
      <c r="G15" s="25">
        <f>'Stavební rozpočet'!J36</f>
        <v>0</v>
      </c>
      <c r="H15" s="27" t="s">
        <v>301</v>
      </c>
      <c r="I15" s="25">
        <f t="shared" si="0"/>
        <v>0</v>
      </c>
    </row>
    <row r="16" spans="1:9" x14ac:dyDescent="0.25">
      <c r="A16" s="2" t="s">
        <v>46</v>
      </c>
      <c r="B16" s="3" t="s">
        <v>139</v>
      </c>
      <c r="C16" s="76" t="s">
        <v>140</v>
      </c>
      <c r="D16" s="76"/>
      <c r="E16" s="25">
        <f>'Stavební rozpočet'!H40</f>
        <v>0</v>
      </c>
      <c r="F16" s="25">
        <f>'Stavební rozpočet'!I40</f>
        <v>0</v>
      </c>
      <c r="G16" s="25">
        <f>'Stavební rozpočet'!J40</f>
        <v>0</v>
      </c>
      <c r="H16" s="27" t="s">
        <v>301</v>
      </c>
      <c r="I16" s="25">
        <f t="shared" si="0"/>
        <v>0</v>
      </c>
    </row>
    <row r="17" spans="1:9" x14ac:dyDescent="0.25">
      <c r="A17" s="2" t="s">
        <v>46</v>
      </c>
      <c r="B17" s="3" t="s">
        <v>155</v>
      </c>
      <c r="C17" s="76" t="s">
        <v>156</v>
      </c>
      <c r="D17" s="76"/>
      <c r="E17" s="25">
        <f>'Stavební rozpočet'!H45</f>
        <v>0</v>
      </c>
      <c r="F17" s="25">
        <f>'Stavební rozpočet'!I45</f>
        <v>0</v>
      </c>
      <c r="G17" s="25">
        <f>'Stavební rozpočet'!J45</f>
        <v>0</v>
      </c>
      <c r="H17" s="27" t="s">
        <v>301</v>
      </c>
      <c r="I17" s="25">
        <f t="shared" si="0"/>
        <v>0</v>
      </c>
    </row>
    <row r="18" spans="1:9" x14ac:dyDescent="0.25">
      <c r="A18" s="2" t="s">
        <v>46</v>
      </c>
      <c r="B18" s="3" t="s">
        <v>180</v>
      </c>
      <c r="C18" s="76" t="s">
        <v>181</v>
      </c>
      <c r="D18" s="76"/>
      <c r="E18" s="25">
        <f>'Stavební rozpočet'!H53</f>
        <v>0</v>
      </c>
      <c r="F18" s="25">
        <f>'Stavební rozpočet'!I53</f>
        <v>0</v>
      </c>
      <c r="G18" s="25">
        <f>'Stavební rozpočet'!J53</f>
        <v>0</v>
      </c>
      <c r="H18" s="27" t="s">
        <v>301</v>
      </c>
      <c r="I18" s="25">
        <f t="shared" si="0"/>
        <v>0</v>
      </c>
    </row>
    <row r="19" spans="1:9" x14ac:dyDescent="0.25">
      <c r="A19" s="2" t="s">
        <v>46</v>
      </c>
      <c r="B19" s="3" t="s">
        <v>190</v>
      </c>
      <c r="C19" s="76" t="s">
        <v>191</v>
      </c>
      <c r="D19" s="76"/>
      <c r="E19" s="25">
        <f>'Stavební rozpočet'!H56</f>
        <v>0</v>
      </c>
      <c r="F19" s="25">
        <f>'Stavební rozpočet'!I56</f>
        <v>0</v>
      </c>
      <c r="G19" s="25">
        <f>'Stavební rozpočet'!J56</f>
        <v>0</v>
      </c>
      <c r="H19" s="27" t="s">
        <v>301</v>
      </c>
      <c r="I19" s="25">
        <f t="shared" si="0"/>
        <v>0</v>
      </c>
    </row>
    <row r="20" spans="1:9" x14ac:dyDescent="0.25">
      <c r="A20" s="2" t="s">
        <v>46</v>
      </c>
      <c r="B20" s="3" t="s">
        <v>201</v>
      </c>
      <c r="C20" s="76" t="s">
        <v>202</v>
      </c>
      <c r="D20" s="76"/>
      <c r="E20" s="25">
        <f>'Stavební rozpočet'!H59</f>
        <v>0</v>
      </c>
      <c r="F20" s="25">
        <f>'Stavební rozpočet'!I59</f>
        <v>0</v>
      </c>
      <c r="G20" s="25">
        <f>'Stavební rozpočet'!J59</f>
        <v>0</v>
      </c>
      <c r="H20" s="27" t="s">
        <v>301</v>
      </c>
      <c r="I20" s="25">
        <f t="shared" si="0"/>
        <v>0</v>
      </c>
    </row>
    <row r="21" spans="1:9" x14ac:dyDescent="0.25">
      <c r="A21" s="2" t="s">
        <v>46</v>
      </c>
      <c r="B21" s="3" t="s">
        <v>220</v>
      </c>
      <c r="C21" s="76" t="s">
        <v>221</v>
      </c>
      <c r="D21" s="76"/>
      <c r="E21" s="25">
        <f>'Stavební rozpočet'!H65</f>
        <v>0</v>
      </c>
      <c r="F21" s="25">
        <f>'Stavební rozpočet'!I65</f>
        <v>0</v>
      </c>
      <c r="G21" s="25">
        <f>'Stavební rozpočet'!J65</f>
        <v>0</v>
      </c>
      <c r="H21" s="27" t="s">
        <v>301</v>
      </c>
      <c r="I21" s="25">
        <f t="shared" si="0"/>
        <v>0</v>
      </c>
    </row>
    <row r="22" spans="1:9" x14ac:dyDescent="0.25">
      <c r="A22" s="2" t="s">
        <v>46</v>
      </c>
      <c r="B22" s="3" t="s">
        <v>226</v>
      </c>
      <c r="C22" s="76" t="s">
        <v>227</v>
      </c>
      <c r="D22" s="76"/>
      <c r="E22" s="25">
        <f>'Stavební rozpočet'!H67</f>
        <v>0</v>
      </c>
      <c r="F22" s="25">
        <f>'Stavební rozpočet'!I67</f>
        <v>0</v>
      </c>
      <c r="G22" s="25">
        <f>'Stavební rozpočet'!J67</f>
        <v>0</v>
      </c>
      <c r="H22" s="27" t="s">
        <v>301</v>
      </c>
      <c r="I22" s="25">
        <f t="shared" si="0"/>
        <v>0</v>
      </c>
    </row>
    <row r="23" spans="1:9" x14ac:dyDescent="0.25">
      <c r="A23" s="2" t="s">
        <v>46</v>
      </c>
      <c r="B23" s="3" t="s">
        <v>238</v>
      </c>
      <c r="C23" s="76" t="s">
        <v>239</v>
      </c>
      <c r="D23" s="76"/>
      <c r="E23" s="25">
        <f>'Stavební rozpočet'!H71</f>
        <v>0</v>
      </c>
      <c r="F23" s="25">
        <f>'Stavební rozpočet'!I71</f>
        <v>0</v>
      </c>
      <c r="G23" s="25">
        <f>'Stavební rozpočet'!J71</f>
        <v>0</v>
      </c>
      <c r="H23" s="27" t="s">
        <v>301</v>
      </c>
      <c r="I23" s="25">
        <f t="shared" si="0"/>
        <v>0</v>
      </c>
    </row>
    <row r="24" spans="1:9" x14ac:dyDescent="0.25">
      <c r="A24" s="2" t="s">
        <v>46</v>
      </c>
      <c r="B24" s="3" t="s">
        <v>244</v>
      </c>
      <c r="C24" s="76" t="s">
        <v>245</v>
      </c>
      <c r="D24" s="76"/>
      <c r="E24" s="25">
        <f>'Stavební rozpočet'!H73</f>
        <v>0</v>
      </c>
      <c r="F24" s="25">
        <f>'Stavební rozpočet'!I73</f>
        <v>0</v>
      </c>
      <c r="G24" s="25">
        <f>'Stavební rozpočet'!J73</f>
        <v>0</v>
      </c>
      <c r="H24" s="27" t="s">
        <v>301</v>
      </c>
      <c r="I24" s="25">
        <f t="shared" si="0"/>
        <v>0</v>
      </c>
    </row>
    <row r="25" spans="1:9" x14ac:dyDescent="0.25">
      <c r="A25" s="2" t="s">
        <v>46</v>
      </c>
      <c r="B25" s="3" t="s">
        <v>251</v>
      </c>
      <c r="C25" s="76" t="s">
        <v>252</v>
      </c>
      <c r="D25" s="76"/>
      <c r="E25" s="25">
        <f>'Stavební rozpočet'!H75</f>
        <v>0</v>
      </c>
      <c r="F25" s="25">
        <f>'Stavební rozpočet'!I75</f>
        <v>0</v>
      </c>
      <c r="G25" s="25">
        <f>'Stavební rozpočet'!J75</f>
        <v>0</v>
      </c>
      <c r="H25" s="27" t="s">
        <v>301</v>
      </c>
      <c r="I25" s="25">
        <f t="shared" si="0"/>
        <v>0</v>
      </c>
    </row>
    <row r="26" spans="1:9" x14ac:dyDescent="0.25">
      <c r="A26" s="2" t="s">
        <v>46</v>
      </c>
      <c r="B26" s="3" t="s">
        <v>275</v>
      </c>
      <c r="C26" s="76" t="s">
        <v>276</v>
      </c>
      <c r="D26" s="76"/>
      <c r="E26" s="25">
        <f>'Stavební rozpočet'!H83</f>
        <v>0</v>
      </c>
      <c r="F26" s="25">
        <f>'Stavební rozpočet'!I83</f>
        <v>0</v>
      </c>
      <c r="G26" s="25">
        <f>'Stavební rozpočet'!J83</f>
        <v>0</v>
      </c>
      <c r="H26" s="27" t="s">
        <v>302</v>
      </c>
      <c r="I26" s="25">
        <f t="shared" si="0"/>
        <v>0</v>
      </c>
    </row>
    <row r="27" spans="1:9" x14ac:dyDescent="0.25">
      <c r="A27" s="2" t="s">
        <v>46</v>
      </c>
      <c r="B27" s="3" t="s">
        <v>277</v>
      </c>
      <c r="C27" s="76" t="s">
        <v>278</v>
      </c>
      <c r="D27" s="76"/>
      <c r="E27" s="25">
        <f>'Stavební rozpočet'!H84</f>
        <v>0</v>
      </c>
      <c r="F27" s="25">
        <f>'Stavební rozpočet'!I84</f>
        <v>0</v>
      </c>
      <c r="G27" s="25">
        <f>'Stavební rozpočet'!J84</f>
        <v>0</v>
      </c>
      <c r="H27" s="27" t="s">
        <v>301</v>
      </c>
      <c r="I27" s="25">
        <f t="shared" si="0"/>
        <v>0</v>
      </c>
    </row>
    <row r="28" spans="1:9" x14ac:dyDescent="0.25">
      <c r="F28" s="4" t="s">
        <v>294</v>
      </c>
      <c r="G28" s="46">
        <f>ROUND(SUM(I11:I27),0)</f>
        <v>0</v>
      </c>
    </row>
  </sheetData>
  <mergeCells count="42">
    <mergeCell ref="C27:D27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G2:G3"/>
    <mergeCell ref="G4:G5"/>
    <mergeCell ref="G6:G7"/>
    <mergeCell ref="G8:G9"/>
    <mergeCell ref="C11:D11"/>
    <mergeCell ref="C8:C9"/>
    <mergeCell ref="E2:E3"/>
    <mergeCell ref="E4:E5"/>
    <mergeCell ref="E6:E7"/>
    <mergeCell ref="E8:E9"/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91"/>
  <sheetViews>
    <sheetView workbookViewId="0">
      <pane ySplit="11" topLeftCell="A12" activePane="bottomLeft" state="frozen"/>
      <selection pane="bottomLeft" activeCell="G8" sqref="G8:G9"/>
    </sheetView>
  </sheetViews>
  <sheetFormatPr defaultColWidth="12.140625" defaultRowHeight="15" customHeight="1" x14ac:dyDescent="0.25"/>
  <cols>
    <col min="1" max="1" width="4" customWidth="1"/>
    <col min="2" max="2" width="17.85546875" customWidth="1"/>
    <col min="3" max="3" width="42.85546875" customWidth="1"/>
    <col min="4" max="4" width="35.7109375" customWidth="1"/>
    <col min="5" max="5" width="8.42578125" customWidth="1"/>
    <col min="6" max="6" width="12.85546875" customWidth="1"/>
    <col min="7" max="7" width="12" customWidth="1"/>
    <col min="8" max="10" width="15.7109375" customWidth="1"/>
    <col min="11" max="11" width="14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73" t="s">
        <v>1</v>
      </c>
      <c r="B2" s="74"/>
      <c r="C2" s="83" t="s">
        <v>2</v>
      </c>
      <c r="D2" s="84"/>
      <c r="E2" s="74" t="s">
        <v>3</v>
      </c>
      <c r="F2" s="74"/>
      <c r="G2" s="74" t="s">
        <v>4</v>
      </c>
      <c r="H2" s="78" t="s">
        <v>5</v>
      </c>
      <c r="I2" s="74" t="s">
        <v>6</v>
      </c>
      <c r="J2" s="74"/>
      <c r="K2" s="80"/>
    </row>
    <row r="3" spans="1:76" x14ac:dyDescent="0.25">
      <c r="A3" s="75"/>
      <c r="B3" s="76"/>
      <c r="C3" s="85"/>
      <c r="D3" s="85"/>
      <c r="E3" s="76"/>
      <c r="F3" s="76"/>
      <c r="G3" s="76"/>
      <c r="H3" s="76"/>
      <c r="I3" s="76"/>
      <c r="J3" s="76"/>
      <c r="K3" s="81"/>
    </row>
    <row r="4" spans="1:76" x14ac:dyDescent="0.25">
      <c r="A4" s="77" t="s">
        <v>7</v>
      </c>
      <c r="B4" s="76"/>
      <c r="C4" s="79" t="s">
        <v>4</v>
      </c>
      <c r="D4" s="76"/>
      <c r="E4" s="76" t="s">
        <v>8</v>
      </c>
      <c r="F4" s="76"/>
      <c r="G4" s="161"/>
      <c r="H4" s="79" t="s">
        <v>9</v>
      </c>
      <c r="I4" s="76" t="s">
        <v>6</v>
      </c>
      <c r="J4" s="76"/>
      <c r="K4" s="81"/>
    </row>
    <row r="5" spans="1:76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81"/>
    </row>
    <row r="6" spans="1:76" x14ac:dyDescent="0.25">
      <c r="A6" s="77" t="s">
        <v>10</v>
      </c>
      <c r="B6" s="76"/>
      <c r="C6" s="79" t="s">
        <v>11</v>
      </c>
      <c r="D6" s="76"/>
      <c r="E6" s="76" t="s">
        <v>12</v>
      </c>
      <c r="F6" s="76"/>
      <c r="G6" s="76" t="s">
        <v>4</v>
      </c>
      <c r="H6" s="79" t="s">
        <v>13</v>
      </c>
      <c r="I6" s="127" t="s">
        <v>6</v>
      </c>
      <c r="J6" s="127"/>
      <c r="K6" s="128"/>
    </row>
    <row r="7" spans="1:76" x14ac:dyDescent="0.25">
      <c r="A7" s="75"/>
      <c r="B7" s="76"/>
      <c r="C7" s="76"/>
      <c r="D7" s="76"/>
      <c r="E7" s="76"/>
      <c r="F7" s="76"/>
      <c r="G7" s="76"/>
      <c r="H7" s="76"/>
      <c r="I7" s="127"/>
      <c r="J7" s="127"/>
      <c r="K7" s="128"/>
    </row>
    <row r="8" spans="1:76" x14ac:dyDescent="0.25">
      <c r="A8" s="77" t="s">
        <v>14</v>
      </c>
      <c r="B8" s="76"/>
      <c r="C8" s="79" t="s">
        <v>4</v>
      </c>
      <c r="D8" s="76"/>
      <c r="E8" s="76" t="s">
        <v>15</v>
      </c>
      <c r="F8" s="76"/>
      <c r="G8" s="161"/>
      <c r="H8" s="79" t="s">
        <v>16</v>
      </c>
      <c r="I8" s="76" t="s">
        <v>6</v>
      </c>
      <c r="J8" s="76"/>
      <c r="K8" s="81"/>
    </row>
    <row r="9" spans="1:76" x14ac:dyDescent="0.25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6"/>
    </row>
    <row r="10" spans="1:76" x14ac:dyDescent="0.25">
      <c r="A10" s="6" t="s">
        <v>17</v>
      </c>
      <c r="B10" s="7" t="s">
        <v>18</v>
      </c>
      <c r="C10" s="129" t="s">
        <v>19</v>
      </c>
      <c r="D10" s="130"/>
      <c r="E10" s="7" t="s">
        <v>20</v>
      </c>
      <c r="F10" s="8" t="s">
        <v>21</v>
      </c>
      <c r="G10" s="9" t="s">
        <v>22</v>
      </c>
      <c r="H10" s="133" t="s">
        <v>23</v>
      </c>
      <c r="I10" s="134"/>
      <c r="J10" s="135"/>
      <c r="K10" s="10" t="s">
        <v>24</v>
      </c>
      <c r="BK10" s="11" t="s">
        <v>25</v>
      </c>
      <c r="BL10" s="12" t="s">
        <v>26</v>
      </c>
      <c r="BW10" s="12" t="s">
        <v>27</v>
      </c>
    </row>
    <row r="11" spans="1:76" x14ac:dyDescent="0.25">
      <c r="A11" s="13" t="s">
        <v>4</v>
      </c>
      <c r="B11" s="14" t="s">
        <v>4</v>
      </c>
      <c r="C11" s="131" t="s">
        <v>28</v>
      </c>
      <c r="D11" s="132"/>
      <c r="E11" s="14" t="s">
        <v>4</v>
      </c>
      <c r="F11" s="14" t="s">
        <v>4</v>
      </c>
      <c r="G11" s="15" t="s">
        <v>29</v>
      </c>
      <c r="H11" s="16" t="s">
        <v>30</v>
      </c>
      <c r="I11" s="17" t="s">
        <v>31</v>
      </c>
      <c r="J11" s="18" t="s">
        <v>32</v>
      </c>
      <c r="K11" s="19" t="s">
        <v>33</v>
      </c>
      <c r="Z11" s="11" t="s">
        <v>34</v>
      </c>
      <c r="AA11" s="11" t="s">
        <v>35</v>
      </c>
      <c r="AB11" s="11" t="s">
        <v>36</v>
      </c>
      <c r="AC11" s="11" t="s">
        <v>37</v>
      </c>
      <c r="AD11" s="11" t="s">
        <v>38</v>
      </c>
      <c r="AE11" s="11" t="s">
        <v>39</v>
      </c>
      <c r="AF11" s="11" t="s">
        <v>40</v>
      </c>
      <c r="AG11" s="11" t="s">
        <v>41</v>
      </c>
      <c r="AH11" s="11" t="s">
        <v>42</v>
      </c>
      <c r="BH11" s="11" t="s">
        <v>43</v>
      </c>
      <c r="BI11" s="11" t="s">
        <v>44</v>
      </c>
      <c r="BJ11" s="11" t="s">
        <v>45</v>
      </c>
    </row>
    <row r="12" spans="1:76" x14ac:dyDescent="0.25">
      <c r="A12" s="20" t="s">
        <v>46</v>
      </c>
      <c r="B12" s="21" t="s">
        <v>47</v>
      </c>
      <c r="C12" s="136" t="s">
        <v>48</v>
      </c>
      <c r="D12" s="137"/>
      <c r="E12" s="22" t="s">
        <v>4</v>
      </c>
      <c r="F12" s="22" t="s">
        <v>4</v>
      </c>
      <c r="G12" s="22" t="s">
        <v>4</v>
      </c>
      <c r="H12" s="23">
        <f>SUM(H13:H13)</f>
        <v>0</v>
      </c>
      <c r="I12" s="23">
        <f>SUM(I13:I13)</f>
        <v>0</v>
      </c>
      <c r="J12" s="23">
        <f>SUM(J13:J13)</f>
        <v>0</v>
      </c>
      <c r="K12" s="24" t="s">
        <v>46</v>
      </c>
      <c r="AI12" s="11" t="s">
        <v>46</v>
      </c>
      <c r="AS12" s="1">
        <f>SUM(AJ13:AJ13)</f>
        <v>0</v>
      </c>
      <c r="AT12" s="1">
        <f>SUM(AK13:AK13)</f>
        <v>0</v>
      </c>
      <c r="AU12" s="1">
        <f>SUM(AL13:AL13)</f>
        <v>0</v>
      </c>
    </row>
    <row r="13" spans="1:76" x14ac:dyDescent="0.25">
      <c r="A13" s="2" t="s">
        <v>49</v>
      </c>
      <c r="B13" s="3" t="s">
        <v>50</v>
      </c>
      <c r="C13" s="79" t="s">
        <v>51</v>
      </c>
      <c r="D13" s="76"/>
      <c r="E13" s="3" t="s">
        <v>52</v>
      </c>
      <c r="F13" s="25">
        <v>80</v>
      </c>
      <c r="G13" s="69">
        <v>0</v>
      </c>
      <c r="H13" s="25">
        <f>F13*AO13</f>
        <v>0</v>
      </c>
      <c r="I13" s="25">
        <f>F13*AP13</f>
        <v>0</v>
      </c>
      <c r="J13" s="25">
        <f>F13*G13</f>
        <v>0</v>
      </c>
      <c r="K13" s="26" t="s">
        <v>53</v>
      </c>
      <c r="Z13" s="25">
        <f>IF(AQ13="5",BJ13,0)</f>
        <v>0</v>
      </c>
      <c r="AB13" s="25">
        <f>IF(AQ13="1",BH13,0)</f>
        <v>0</v>
      </c>
      <c r="AC13" s="25">
        <f>IF(AQ13="1",BI13,0)</f>
        <v>0</v>
      </c>
      <c r="AD13" s="25">
        <f>IF(AQ13="7",BH13,0)</f>
        <v>0</v>
      </c>
      <c r="AE13" s="25">
        <f>IF(AQ13="7",BI13,0)</f>
        <v>0</v>
      </c>
      <c r="AF13" s="25">
        <f>IF(AQ13="2",BH13,0)</f>
        <v>0</v>
      </c>
      <c r="AG13" s="25">
        <f>IF(AQ13="2",BI13,0)</f>
        <v>0</v>
      </c>
      <c r="AH13" s="25">
        <f>IF(AQ13="0",BJ13,0)</f>
        <v>0</v>
      </c>
      <c r="AI13" s="11" t="s">
        <v>46</v>
      </c>
      <c r="AJ13" s="25">
        <f>IF(AN13=0,J13,0)</f>
        <v>0</v>
      </c>
      <c r="AK13" s="25">
        <f>IF(AN13=12,J13,0)</f>
        <v>0</v>
      </c>
      <c r="AL13" s="25">
        <f>IF(AN13=21,J13,0)</f>
        <v>0</v>
      </c>
      <c r="AN13" s="25">
        <v>12</v>
      </c>
      <c r="AO13" s="25">
        <f>G13*0</f>
        <v>0</v>
      </c>
      <c r="AP13" s="25">
        <f>G13*(1-0)</f>
        <v>0</v>
      </c>
      <c r="AQ13" s="27" t="s">
        <v>49</v>
      </c>
      <c r="AV13" s="25">
        <f>AW13+AX13</f>
        <v>0</v>
      </c>
      <c r="AW13" s="25">
        <f>F13*AO13</f>
        <v>0</v>
      </c>
      <c r="AX13" s="25">
        <f>F13*AP13</f>
        <v>0</v>
      </c>
      <c r="AY13" s="27" t="s">
        <v>54</v>
      </c>
      <c r="AZ13" s="27" t="s">
        <v>55</v>
      </c>
      <c r="BA13" s="11" t="s">
        <v>56</v>
      </c>
      <c r="BC13" s="25">
        <f>AW13+AX13</f>
        <v>0</v>
      </c>
      <c r="BD13" s="25">
        <f>G13/(100-BE13)*100</f>
        <v>0</v>
      </c>
      <c r="BE13" s="25">
        <v>0</v>
      </c>
      <c r="BF13" s="25">
        <f>13</f>
        <v>13</v>
      </c>
      <c r="BH13" s="25">
        <f>F13*AO13</f>
        <v>0</v>
      </c>
      <c r="BI13" s="25">
        <f>F13*AP13</f>
        <v>0</v>
      </c>
      <c r="BJ13" s="25">
        <f>F13*G13</f>
        <v>0</v>
      </c>
      <c r="BK13" s="25"/>
      <c r="BL13" s="25">
        <v>11</v>
      </c>
      <c r="BW13" s="25">
        <v>12</v>
      </c>
      <c r="BX13" s="5" t="s">
        <v>51</v>
      </c>
    </row>
    <row r="14" spans="1:76" x14ac:dyDescent="0.25">
      <c r="A14" s="28" t="s">
        <v>46</v>
      </c>
      <c r="B14" s="29" t="s">
        <v>57</v>
      </c>
      <c r="C14" s="138" t="s">
        <v>58</v>
      </c>
      <c r="D14" s="139"/>
      <c r="E14" s="30" t="s">
        <v>4</v>
      </c>
      <c r="F14" s="30" t="s">
        <v>4</v>
      </c>
      <c r="G14" s="30" t="s">
        <v>4</v>
      </c>
      <c r="H14" s="1">
        <f>SUM(H15:H19)</f>
        <v>0</v>
      </c>
      <c r="I14" s="1">
        <f>SUM(I15:I19)</f>
        <v>0</v>
      </c>
      <c r="J14" s="1">
        <f>SUM(J15:J19)</f>
        <v>0</v>
      </c>
      <c r="K14" s="31" t="s">
        <v>46</v>
      </c>
      <c r="AI14" s="11" t="s">
        <v>46</v>
      </c>
      <c r="AS14" s="1">
        <f>SUM(AJ15:AJ19)</f>
        <v>0</v>
      </c>
      <c r="AT14" s="1">
        <f>SUM(AK15:AK19)</f>
        <v>0</v>
      </c>
      <c r="AU14" s="1">
        <f>SUM(AL15:AL19)</f>
        <v>0</v>
      </c>
    </row>
    <row r="15" spans="1:76" x14ac:dyDescent="0.25">
      <c r="A15" s="2" t="s">
        <v>59</v>
      </c>
      <c r="B15" s="3" t="s">
        <v>60</v>
      </c>
      <c r="C15" s="79" t="s">
        <v>61</v>
      </c>
      <c r="D15" s="76"/>
      <c r="E15" s="3" t="s">
        <v>52</v>
      </c>
      <c r="F15" s="25">
        <v>89.98</v>
      </c>
      <c r="G15" s="69">
        <v>0</v>
      </c>
      <c r="H15" s="25">
        <f>F15*AO15</f>
        <v>0</v>
      </c>
      <c r="I15" s="25">
        <f>F15*AP15</f>
        <v>0</v>
      </c>
      <c r="J15" s="25">
        <f>F15*G15</f>
        <v>0</v>
      </c>
      <c r="K15" s="26" t="s">
        <v>53</v>
      </c>
      <c r="Z15" s="25">
        <f>IF(AQ15="5",BJ15,0)</f>
        <v>0</v>
      </c>
      <c r="AB15" s="25">
        <f>IF(AQ15="1",BH15,0)</f>
        <v>0</v>
      </c>
      <c r="AC15" s="25">
        <f>IF(AQ15="1",BI15,0)</f>
        <v>0</v>
      </c>
      <c r="AD15" s="25">
        <f>IF(AQ15="7",BH15,0)</f>
        <v>0</v>
      </c>
      <c r="AE15" s="25">
        <f>IF(AQ15="7",BI15,0)</f>
        <v>0</v>
      </c>
      <c r="AF15" s="25">
        <f>IF(AQ15="2",BH15,0)</f>
        <v>0</v>
      </c>
      <c r="AG15" s="25">
        <f>IF(AQ15="2",BI15,0)</f>
        <v>0</v>
      </c>
      <c r="AH15" s="25">
        <f>IF(AQ15="0",BJ15,0)</f>
        <v>0</v>
      </c>
      <c r="AI15" s="11" t="s">
        <v>46</v>
      </c>
      <c r="AJ15" s="25">
        <f>IF(AN15=0,J15,0)</f>
        <v>0</v>
      </c>
      <c r="AK15" s="25">
        <f>IF(AN15=12,J15,0)</f>
        <v>0</v>
      </c>
      <c r="AL15" s="25">
        <f>IF(AN15=21,J15,0)</f>
        <v>0</v>
      </c>
      <c r="AN15" s="25">
        <v>12</v>
      </c>
      <c r="AO15" s="25">
        <f>G15*0.073290161</f>
        <v>0</v>
      </c>
      <c r="AP15" s="25">
        <f>G15*(1-0.073290161)</f>
        <v>0</v>
      </c>
      <c r="AQ15" s="27" t="s">
        <v>49</v>
      </c>
      <c r="AV15" s="25">
        <f>AW15+AX15</f>
        <v>0</v>
      </c>
      <c r="AW15" s="25">
        <f>F15*AO15</f>
        <v>0</v>
      </c>
      <c r="AX15" s="25">
        <f>F15*AP15</f>
        <v>0</v>
      </c>
      <c r="AY15" s="27" t="s">
        <v>62</v>
      </c>
      <c r="AZ15" s="27" t="s">
        <v>63</v>
      </c>
      <c r="BA15" s="11" t="s">
        <v>56</v>
      </c>
      <c r="BC15" s="25">
        <f>AW15+AX15</f>
        <v>0</v>
      </c>
      <c r="BD15" s="25">
        <f>G15/(100-BE15)*100</f>
        <v>0</v>
      </c>
      <c r="BE15" s="25">
        <v>0</v>
      </c>
      <c r="BF15" s="25">
        <f>15</f>
        <v>15</v>
      </c>
      <c r="BH15" s="25">
        <f>F15*AO15</f>
        <v>0</v>
      </c>
      <c r="BI15" s="25">
        <f>F15*AP15</f>
        <v>0</v>
      </c>
      <c r="BJ15" s="25">
        <f>F15*G15</f>
        <v>0</v>
      </c>
      <c r="BK15" s="25"/>
      <c r="BL15" s="25">
        <v>62</v>
      </c>
      <c r="BW15" s="25">
        <v>12</v>
      </c>
      <c r="BX15" s="5" t="s">
        <v>61</v>
      </c>
    </row>
    <row r="16" spans="1:76" x14ac:dyDescent="0.25">
      <c r="A16" s="2" t="s">
        <v>64</v>
      </c>
      <c r="B16" s="3" t="s">
        <v>65</v>
      </c>
      <c r="C16" s="79" t="s">
        <v>66</v>
      </c>
      <c r="D16" s="76"/>
      <c r="E16" s="3" t="s">
        <v>52</v>
      </c>
      <c r="F16" s="25">
        <v>89.98</v>
      </c>
      <c r="G16" s="69">
        <v>0</v>
      </c>
      <c r="H16" s="25">
        <f>F16*AO16</f>
        <v>0</v>
      </c>
      <c r="I16" s="25">
        <f>F16*AP16</f>
        <v>0</v>
      </c>
      <c r="J16" s="25">
        <f>F16*G16</f>
        <v>0</v>
      </c>
      <c r="K16" s="26" t="s">
        <v>53</v>
      </c>
      <c r="Z16" s="25">
        <f>IF(AQ16="5",BJ16,0)</f>
        <v>0</v>
      </c>
      <c r="AB16" s="25">
        <f>IF(AQ16="1",BH16,0)</f>
        <v>0</v>
      </c>
      <c r="AC16" s="25">
        <f>IF(AQ16="1",BI16,0)</f>
        <v>0</v>
      </c>
      <c r="AD16" s="25">
        <f>IF(AQ16="7",BH16,0)</f>
        <v>0</v>
      </c>
      <c r="AE16" s="25">
        <f>IF(AQ16="7",BI16,0)</f>
        <v>0</v>
      </c>
      <c r="AF16" s="25">
        <f>IF(AQ16="2",BH16,0)</f>
        <v>0</v>
      </c>
      <c r="AG16" s="25">
        <f>IF(AQ16="2",BI16,0)</f>
        <v>0</v>
      </c>
      <c r="AH16" s="25">
        <f>IF(AQ16="0",BJ16,0)</f>
        <v>0</v>
      </c>
      <c r="AI16" s="11" t="s">
        <v>46</v>
      </c>
      <c r="AJ16" s="25">
        <f>IF(AN16=0,J16,0)</f>
        <v>0</v>
      </c>
      <c r="AK16" s="25">
        <f>IF(AN16=12,J16,0)</f>
        <v>0</v>
      </c>
      <c r="AL16" s="25">
        <f>IF(AN16=21,J16,0)</f>
        <v>0</v>
      </c>
      <c r="AN16" s="25">
        <v>12</v>
      </c>
      <c r="AO16" s="25">
        <f>G16*0.557046929</f>
        <v>0</v>
      </c>
      <c r="AP16" s="25">
        <f>G16*(1-0.557046929)</f>
        <v>0</v>
      </c>
      <c r="AQ16" s="27" t="s">
        <v>49</v>
      </c>
      <c r="AV16" s="25">
        <f>AW16+AX16</f>
        <v>0</v>
      </c>
      <c r="AW16" s="25">
        <f>F16*AO16</f>
        <v>0</v>
      </c>
      <c r="AX16" s="25">
        <f>F16*AP16</f>
        <v>0</v>
      </c>
      <c r="AY16" s="27" t="s">
        <v>62</v>
      </c>
      <c r="AZ16" s="27" t="s">
        <v>63</v>
      </c>
      <c r="BA16" s="11" t="s">
        <v>56</v>
      </c>
      <c r="BC16" s="25">
        <f>AW16+AX16</f>
        <v>0</v>
      </c>
      <c r="BD16" s="25">
        <f>G16/(100-BE16)*100</f>
        <v>0</v>
      </c>
      <c r="BE16" s="25">
        <v>0</v>
      </c>
      <c r="BF16" s="25">
        <f>16</f>
        <v>16</v>
      </c>
      <c r="BH16" s="25">
        <f>F16*AO16</f>
        <v>0</v>
      </c>
      <c r="BI16" s="25">
        <f>F16*AP16</f>
        <v>0</v>
      </c>
      <c r="BJ16" s="25">
        <f>F16*G16</f>
        <v>0</v>
      </c>
      <c r="BK16" s="25"/>
      <c r="BL16" s="25">
        <v>62</v>
      </c>
      <c r="BW16" s="25">
        <v>12</v>
      </c>
      <c r="BX16" s="5" t="s">
        <v>66</v>
      </c>
    </row>
    <row r="17" spans="1:76" ht="25.5" x14ac:dyDescent="0.25">
      <c r="A17" s="2" t="s">
        <v>67</v>
      </c>
      <c r="B17" s="3" t="s">
        <v>68</v>
      </c>
      <c r="C17" s="79" t="s">
        <v>69</v>
      </c>
      <c r="D17" s="76"/>
      <c r="E17" s="3" t="s">
        <v>52</v>
      </c>
      <c r="F17" s="25">
        <v>89.98</v>
      </c>
      <c r="G17" s="69">
        <v>0</v>
      </c>
      <c r="H17" s="25">
        <f>F17*AO17</f>
        <v>0</v>
      </c>
      <c r="I17" s="25">
        <f>F17*AP17</f>
        <v>0</v>
      </c>
      <c r="J17" s="25">
        <f>F17*G17</f>
        <v>0</v>
      </c>
      <c r="K17" s="26" t="s">
        <v>53</v>
      </c>
      <c r="Z17" s="25">
        <f>IF(AQ17="5",BJ17,0)</f>
        <v>0</v>
      </c>
      <c r="AB17" s="25">
        <f>IF(AQ17="1",BH17,0)</f>
        <v>0</v>
      </c>
      <c r="AC17" s="25">
        <f>IF(AQ17="1",BI17,0)</f>
        <v>0</v>
      </c>
      <c r="AD17" s="25">
        <f>IF(AQ17="7",BH17,0)</f>
        <v>0</v>
      </c>
      <c r="AE17" s="25">
        <f>IF(AQ17="7",BI17,0)</f>
        <v>0</v>
      </c>
      <c r="AF17" s="25">
        <f>IF(AQ17="2",BH17,0)</f>
        <v>0</v>
      </c>
      <c r="AG17" s="25">
        <f>IF(AQ17="2",BI17,0)</f>
        <v>0</v>
      </c>
      <c r="AH17" s="25">
        <f>IF(AQ17="0",BJ17,0)</f>
        <v>0</v>
      </c>
      <c r="AI17" s="11" t="s">
        <v>46</v>
      </c>
      <c r="AJ17" s="25">
        <f>IF(AN17=0,J17,0)</f>
        <v>0</v>
      </c>
      <c r="AK17" s="25">
        <f>IF(AN17=12,J17,0)</f>
        <v>0</v>
      </c>
      <c r="AL17" s="25">
        <f>IF(AN17=21,J17,0)</f>
        <v>0</v>
      </c>
      <c r="AN17" s="25">
        <v>12</v>
      </c>
      <c r="AO17" s="25">
        <f>G17*0.398332333</f>
        <v>0</v>
      </c>
      <c r="AP17" s="25">
        <f>G17*(1-0.398332333)</f>
        <v>0</v>
      </c>
      <c r="AQ17" s="27" t="s">
        <v>49</v>
      </c>
      <c r="AV17" s="25">
        <f>AW17+AX17</f>
        <v>0</v>
      </c>
      <c r="AW17" s="25">
        <f>F17*AO17</f>
        <v>0</v>
      </c>
      <c r="AX17" s="25">
        <f>F17*AP17</f>
        <v>0</v>
      </c>
      <c r="AY17" s="27" t="s">
        <v>62</v>
      </c>
      <c r="AZ17" s="27" t="s">
        <v>63</v>
      </c>
      <c r="BA17" s="11" t="s">
        <v>56</v>
      </c>
      <c r="BC17" s="25">
        <f>AW17+AX17</f>
        <v>0</v>
      </c>
      <c r="BD17" s="25">
        <f>G17/(100-BE17)*100</f>
        <v>0</v>
      </c>
      <c r="BE17" s="25">
        <v>0</v>
      </c>
      <c r="BF17" s="25">
        <f>17</f>
        <v>17</v>
      </c>
      <c r="BH17" s="25">
        <f>F17*AO17</f>
        <v>0</v>
      </c>
      <c r="BI17" s="25">
        <f>F17*AP17</f>
        <v>0</v>
      </c>
      <c r="BJ17" s="25">
        <f>F17*G17</f>
        <v>0</v>
      </c>
      <c r="BK17" s="25"/>
      <c r="BL17" s="25">
        <v>62</v>
      </c>
      <c r="BW17" s="25">
        <v>12</v>
      </c>
      <c r="BX17" s="5" t="s">
        <v>69</v>
      </c>
    </row>
    <row r="18" spans="1:76" x14ac:dyDescent="0.25">
      <c r="A18" s="2" t="s">
        <v>70</v>
      </c>
      <c r="B18" s="3" t="s">
        <v>71</v>
      </c>
      <c r="C18" s="79" t="s">
        <v>72</v>
      </c>
      <c r="D18" s="76"/>
      <c r="E18" s="3" t="s">
        <v>52</v>
      </c>
      <c r="F18" s="25">
        <v>89.98</v>
      </c>
      <c r="G18" s="69">
        <v>0</v>
      </c>
      <c r="H18" s="25">
        <f>F18*AO18</f>
        <v>0</v>
      </c>
      <c r="I18" s="25">
        <f>F18*AP18</f>
        <v>0</v>
      </c>
      <c r="J18" s="25">
        <f>F18*G18</f>
        <v>0</v>
      </c>
      <c r="K18" s="26" t="s">
        <v>53</v>
      </c>
      <c r="Z18" s="25">
        <f>IF(AQ18="5",BJ18,0)</f>
        <v>0</v>
      </c>
      <c r="AB18" s="25">
        <f>IF(AQ18="1",BH18,0)</f>
        <v>0</v>
      </c>
      <c r="AC18" s="25">
        <f>IF(AQ18="1",BI18,0)</f>
        <v>0</v>
      </c>
      <c r="AD18" s="25">
        <f>IF(AQ18="7",BH18,0)</f>
        <v>0</v>
      </c>
      <c r="AE18" s="25">
        <f>IF(AQ18="7",BI18,0)</f>
        <v>0</v>
      </c>
      <c r="AF18" s="25">
        <f>IF(AQ18="2",BH18,0)</f>
        <v>0</v>
      </c>
      <c r="AG18" s="25">
        <f>IF(AQ18="2",BI18,0)</f>
        <v>0</v>
      </c>
      <c r="AH18" s="25">
        <f>IF(AQ18="0",BJ18,0)</f>
        <v>0</v>
      </c>
      <c r="AI18" s="11" t="s">
        <v>46</v>
      </c>
      <c r="AJ18" s="25">
        <f>IF(AN18=0,J18,0)</f>
        <v>0</v>
      </c>
      <c r="AK18" s="25">
        <f>IF(AN18=12,J18,0)</f>
        <v>0</v>
      </c>
      <c r="AL18" s="25">
        <f>IF(AN18=21,J18,0)</f>
        <v>0</v>
      </c>
      <c r="AN18" s="25">
        <v>12</v>
      </c>
      <c r="AO18" s="25">
        <f>G18*0.038643259</f>
        <v>0</v>
      </c>
      <c r="AP18" s="25">
        <f>G18*(1-0.038643259)</f>
        <v>0</v>
      </c>
      <c r="AQ18" s="27" t="s">
        <v>49</v>
      </c>
      <c r="AV18" s="25">
        <f>AW18+AX18</f>
        <v>0</v>
      </c>
      <c r="AW18" s="25">
        <f>F18*AO18</f>
        <v>0</v>
      </c>
      <c r="AX18" s="25">
        <f>F18*AP18</f>
        <v>0</v>
      </c>
      <c r="AY18" s="27" t="s">
        <v>62</v>
      </c>
      <c r="AZ18" s="27" t="s">
        <v>63</v>
      </c>
      <c r="BA18" s="11" t="s">
        <v>56</v>
      </c>
      <c r="BC18" s="25">
        <f>AW18+AX18</f>
        <v>0</v>
      </c>
      <c r="BD18" s="25">
        <f>G18/(100-BE18)*100</f>
        <v>0</v>
      </c>
      <c r="BE18" s="25">
        <v>0</v>
      </c>
      <c r="BF18" s="25">
        <f>18</f>
        <v>18</v>
      </c>
      <c r="BH18" s="25">
        <f>F18*AO18</f>
        <v>0</v>
      </c>
      <c r="BI18" s="25">
        <f>F18*AP18</f>
        <v>0</v>
      </c>
      <c r="BJ18" s="25">
        <f>F18*G18</f>
        <v>0</v>
      </c>
      <c r="BK18" s="25"/>
      <c r="BL18" s="25">
        <v>62</v>
      </c>
      <c r="BW18" s="25">
        <v>12</v>
      </c>
      <c r="BX18" s="5" t="s">
        <v>72</v>
      </c>
    </row>
    <row r="19" spans="1:76" x14ac:dyDescent="0.25">
      <c r="A19" s="2" t="s">
        <v>73</v>
      </c>
      <c r="B19" s="3" t="s">
        <v>74</v>
      </c>
      <c r="C19" s="79" t="s">
        <v>75</v>
      </c>
      <c r="D19" s="76"/>
      <c r="E19" s="3" t="s">
        <v>52</v>
      </c>
      <c r="F19" s="25">
        <v>67.61</v>
      </c>
      <c r="G19" s="69">
        <v>0</v>
      </c>
      <c r="H19" s="25">
        <f>F19*AO19</f>
        <v>0</v>
      </c>
      <c r="I19" s="25">
        <f>F19*AP19</f>
        <v>0</v>
      </c>
      <c r="J19" s="25">
        <f>F19*G19</f>
        <v>0</v>
      </c>
      <c r="K19" s="26" t="s">
        <v>53</v>
      </c>
      <c r="Z19" s="25">
        <f>IF(AQ19="5",BJ19,0)</f>
        <v>0</v>
      </c>
      <c r="AB19" s="25">
        <f>IF(AQ19="1",BH19,0)</f>
        <v>0</v>
      </c>
      <c r="AC19" s="25">
        <f>IF(AQ19="1",BI19,0)</f>
        <v>0</v>
      </c>
      <c r="AD19" s="25">
        <f>IF(AQ19="7",BH19,0)</f>
        <v>0</v>
      </c>
      <c r="AE19" s="25">
        <f>IF(AQ19="7",BI19,0)</f>
        <v>0</v>
      </c>
      <c r="AF19" s="25">
        <f>IF(AQ19="2",BH19,0)</f>
        <v>0</v>
      </c>
      <c r="AG19" s="25">
        <f>IF(AQ19="2",BI19,0)</f>
        <v>0</v>
      </c>
      <c r="AH19" s="25">
        <f>IF(AQ19="0",BJ19,0)</f>
        <v>0</v>
      </c>
      <c r="AI19" s="11" t="s">
        <v>46</v>
      </c>
      <c r="AJ19" s="25">
        <f>IF(AN19=0,J19,0)</f>
        <v>0</v>
      </c>
      <c r="AK19" s="25">
        <f>IF(AN19=12,J19,0)</f>
        <v>0</v>
      </c>
      <c r="AL19" s="25">
        <f>IF(AN19=21,J19,0)</f>
        <v>0</v>
      </c>
      <c r="AN19" s="25">
        <v>12</v>
      </c>
      <c r="AO19" s="25">
        <f>G19*0</f>
        <v>0</v>
      </c>
      <c r="AP19" s="25">
        <f>G19*(1-0)</f>
        <v>0</v>
      </c>
      <c r="AQ19" s="27" t="s">
        <v>49</v>
      </c>
      <c r="AV19" s="25">
        <f>AW19+AX19</f>
        <v>0</v>
      </c>
      <c r="AW19" s="25">
        <f>F19*AO19</f>
        <v>0</v>
      </c>
      <c r="AX19" s="25">
        <f>F19*AP19</f>
        <v>0</v>
      </c>
      <c r="AY19" s="27" t="s">
        <v>62</v>
      </c>
      <c r="AZ19" s="27" t="s">
        <v>63</v>
      </c>
      <c r="BA19" s="11" t="s">
        <v>56</v>
      </c>
      <c r="BC19" s="25">
        <f>AW19+AX19</f>
        <v>0</v>
      </c>
      <c r="BD19" s="25">
        <f>G19/(100-BE19)*100</f>
        <v>0</v>
      </c>
      <c r="BE19" s="25">
        <v>0</v>
      </c>
      <c r="BF19" s="25">
        <f>19</f>
        <v>19</v>
      </c>
      <c r="BH19" s="25">
        <f>F19*AO19</f>
        <v>0</v>
      </c>
      <c r="BI19" s="25">
        <f>F19*AP19</f>
        <v>0</v>
      </c>
      <c r="BJ19" s="25">
        <f>F19*G19</f>
        <v>0</v>
      </c>
      <c r="BK19" s="25"/>
      <c r="BL19" s="25">
        <v>62</v>
      </c>
      <c r="BW19" s="25">
        <v>12</v>
      </c>
      <c r="BX19" s="5" t="s">
        <v>75</v>
      </c>
    </row>
    <row r="20" spans="1:76" x14ac:dyDescent="0.25">
      <c r="A20" s="28" t="s">
        <v>46</v>
      </c>
      <c r="B20" s="29" t="s">
        <v>76</v>
      </c>
      <c r="C20" s="138" t="s">
        <v>77</v>
      </c>
      <c r="D20" s="139"/>
      <c r="E20" s="30" t="s">
        <v>4</v>
      </c>
      <c r="F20" s="30" t="s">
        <v>4</v>
      </c>
      <c r="G20" s="30" t="s">
        <v>4</v>
      </c>
      <c r="H20" s="1">
        <f>SUM(H21:H23)</f>
        <v>0</v>
      </c>
      <c r="I20" s="1">
        <f>SUM(I21:I23)</f>
        <v>0</v>
      </c>
      <c r="J20" s="1">
        <f>SUM(J21:J23)</f>
        <v>0</v>
      </c>
      <c r="K20" s="31" t="s">
        <v>46</v>
      </c>
      <c r="AI20" s="11" t="s">
        <v>46</v>
      </c>
      <c r="AS20" s="1">
        <f>SUM(AJ21:AJ23)</f>
        <v>0</v>
      </c>
      <c r="AT20" s="1">
        <f>SUM(AK21:AK23)</f>
        <v>0</v>
      </c>
      <c r="AU20" s="1">
        <f>SUM(AL21:AL23)</f>
        <v>0</v>
      </c>
    </row>
    <row r="21" spans="1:76" x14ac:dyDescent="0.25">
      <c r="A21" s="2" t="s">
        <v>78</v>
      </c>
      <c r="B21" s="3" t="s">
        <v>79</v>
      </c>
      <c r="C21" s="79" t="s">
        <v>80</v>
      </c>
      <c r="D21" s="76"/>
      <c r="E21" s="3" t="s">
        <v>81</v>
      </c>
      <c r="F21" s="25">
        <v>2</v>
      </c>
      <c r="G21" s="69">
        <v>0</v>
      </c>
      <c r="H21" s="25">
        <f>F21*AO21</f>
        <v>0</v>
      </c>
      <c r="I21" s="25">
        <f>F21*AP21</f>
        <v>0</v>
      </c>
      <c r="J21" s="25">
        <f>F21*G21</f>
        <v>0</v>
      </c>
      <c r="K21" s="26" t="s">
        <v>53</v>
      </c>
      <c r="Z21" s="25">
        <f>IF(AQ21="5",BJ21,0)</f>
        <v>0</v>
      </c>
      <c r="AB21" s="25">
        <f>IF(AQ21="1",BH21,0)</f>
        <v>0</v>
      </c>
      <c r="AC21" s="25">
        <f>IF(AQ21="1",BI21,0)</f>
        <v>0</v>
      </c>
      <c r="AD21" s="25">
        <f>IF(AQ21="7",BH21,0)</f>
        <v>0</v>
      </c>
      <c r="AE21" s="25">
        <f>IF(AQ21="7",BI21,0)</f>
        <v>0</v>
      </c>
      <c r="AF21" s="25">
        <f>IF(AQ21="2",BH21,0)</f>
        <v>0</v>
      </c>
      <c r="AG21" s="25">
        <f>IF(AQ21="2",BI21,0)</f>
        <v>0</v>
      </c>
      <c r="AH21" s="25">
        <f>IF(AQ21="0",BJ21,0)</f>
        <v>0</v>
      </c>
      <c r="AI21" s="11" t="s">
        <v>46</v>
      </c>
      <c r="AJ21" s="25">
        <f>IF(AN21=0,J21,0)</f>
        <v>0</v>
      </c>
      <c r="AK21" s="25">
        <f>IF(AN21=12,J21,0)</f>
        <v>0</v>
      </c>
      <c r="AL21" s="25">
        <f>IF(AN21=21,J21,0)</f>
        <v>0</v>
      </c>
      <c r="AN21" s="25">
        <v>12</v>
      </c>
      <c r="AO21" s="25">
        <f>G21*0.022922201</f>
        <v>0</v>
      </c>
      <c r="AP21" s="25">
        <f>G21*(1-0.022922201)</f>
        <v>0</v>
      </c>
      <c r="AQ21" s="27" t="s">
        <v>49</v>
      </c>
      <c r="AV21" s="25">
        <f>AW21+AX21</f>
        <v>0</v>
      </c>
      <c r="AW21" s="25">
        <f>F21*AO21</f>
        <v>0</v>
      </c>
      <c r="AX21" s="25">
        <f>F21*AP21</f>
        <v>0</v>
      </c>
      <c r="AY21" s="27" t="s">
        <v>82</v>
      </c>
      <c r="AZ21" s="27" t="s">
        <v>63</v>
      </c>
      <c r="BA21" s="11" t="s">
        <v>56</v>
      </c>
      <c r="BC21" s="25">
        <f>AW21+AX21</f>
        <v>0</v>
      </c>
      <c r="BD21" s="25">
        <f>G21/(100-BE21)*100</f>
        <v>0</v>
      </c>
      <c r="BE21" s="25">
        <v>0</v>
      </c>
      <c r="BF21" s="25">
        <f>21</f>
        <v>21</v>
      </c>
      <c r="BH21" s="25">
        <f>F21*AO21</f>
        <v>0</v>
      </c>
      <c r="BI21" s="25">
        <f>F21*AP21</f>
        <v>0</v>
      </c>
      <c r="BJ21" s="25">
        <f>F21*G21</f>
        <v>0</v>
      </c>
      <c r="BK21" s="25"/>
      <c r="BL21" s="25">
        <v>64</v>
      </c>
      <c r="BW21" s="25">
        <v>12</v>
      </c>
      <c r="BX21" s="5" t="s">
        <v>80</v>
      </c>
    </row>
    <row r="22" spans="1:76" x14ac:dyDescent="0.25">
      <c r="A22" s="2" t="s">
        <v>83</v>
      </c>
      <c r="B22" s="3" t="s">
        <v>84</v>
      </c>
      <c r="C22" s="79" t="s">
        <v>85</v>
      </c>
      <c r="D22" s="76"/>
      <c r="E22" s="3" t="s">
        <v>81</v>
      </c>
      <c r="F22" s="25">
        <v>2</v>
      </c>
      <c r="G22" s="69">
        <v>0</v>
      </c>
      <c r="H22" s="25">
        <f>F22*AO22</f>
        <v>0</v>
      </c>
      <c r="I22" s="25">
        <f>F22*AP22</f>
        <v>0</v>
      </c>
      <c r="J22" s="25">
        <f>F22*G22</f>
        <v>0</v>
      </c>
      <c r="K22" s="26" t="s">
        <v>53</v>
      </c>
      <c r="Z22" s="25">
        <f>IF(AQ22="5",BJ22,0)</f>
        <v>0</v>
      </c>
      <c r="AB22" s="25">
        <f>IF(AQ22="1",BH22,0)</f>
        <v>0</v>
      </c>
      <c r="AC22" s="25">
        <f>IF(AQ22="1",BI22,0)</f>
        <v>0</v>
      </c>
      <c r="AD22" s="25">
        <f>IF(AQ22="7",BH22,0)</f>
        <v>0</v>
      </c>
      <c r="AE22" s="25">
        <f>IF(AQ22="7",BI22,0)</f>
        <v>0</v>
      </c>
      <c r="AF22" s="25">
        <f>IF(AQ22="2",BH22,0)</f>
        <v>0</v>
      </c>
      <c r="AG22" s="25">
        <f>IF(AQ22="2",BI22,0)</f>
        <v>0</v>
      </c>
      <c r="AH22" s="25">
        <f>IF(AQ22="0",BJ22,0)</f>
        <v>0</v>
      </c>
      <c r="AI22" s="11" t="s">
        <v>46</v>
      </c>
      <c r="AJ22" s="25">
        <f>IF(AN22=0,J22,0)</f>
        <v>0</v>
      </c>
      <c r="AK22" s="25">
        <f>IF(AN22=12,J22,0)</f>
        <v>0</v>
      </c>
      <c r="AL22" s="25">
        <f>IF(AN22=21,J22,0)</f>
        <v>0</v>
      </c>
      <c r="AN22" s="25">
        <v>12</v>
      </c>
      <c r="AO22" s="25">
        <f>G22*1</f>
        <v>0</v>
      </c>
      <c r="AP22" s="25">
        <f>G22*(1-1)</f>
        <v>0</v>
      </c>
      <c r="AQ22" s="27" t="s">
        <v>49</v>
      </c>
      <c r="AV22" s="25">
        <f>AW22+AX22</f>
        <v>0</v>
      </c>
      <c r="AW22" s="25">
        <f>F22*AO22</f>
        <v>0</v>
      </c>
      <c r="AX22" s="25">
        <f>F22*AP22</f>
        <v>0</v>
      </c>
      <c r="AY22" s="27" t="s">
        <v>82</v>
      </c>
      <c r="AZ22" s="27" t="s">
        <v>63</v>
      </c>
      <c r="BA22" s="11" t="s">
        <v>56</v>
      </c>
      <c r="BC22" s="25">
        <f>AW22+AX22</f>
        <v>0</v>
      </c>
      <c r="BD22" s="25">
        <f>G22/(100-BE22)*100</f>
        <v>0</v>
      </c>
      <c r="BE22" s="25">
        <v>0</v>
      </c>
      <c r="BF22" s="25">
        <f>22</f>
        <v>22</v>
      </c>
      <c r="BH22" s="25">
        <f>F22*AO22</f>
        <v>0</v>
      </c>
      <c r="BI22" s="25">
        <f>F22*AP22</f>
        <v>0</v>
      </c>
      <c r="BJ22" s="25">
        <f>F22*G22</f>
        <v>0</v>
      </c>
      <c r="BK22" s="25"/>
      <c r="BL22" s="25">
        <v>64</v>
      </c>
      <c r="BW22" s="25">
        <v>12</v>
      </c>
      <c r="BX22" s="5" t="s">
        <v>85</v>
      </c>
    </row>
    <row r="23" spans="1:76" x14ac:dyDescent="0.25">
      <c r="A23" s="2" t="s">
        <v>86</v>
      </c>
      <c r="B23" s="3" t="s">
        <v>87</v>
      </c>
      <c r="C23" s="79" t="s">
        <v>88</v>
      </c>
      <c r="D23" s="76"/>
      <c r="E23" s="3" t="s">
        <v>81</v>
      </c>
      <c r="F23" s="25">
        <v>2</v>
      </c>
      <c r="G23" s="69">
        <v>0</v>
      </c>
      <c r="H23" s="25">
        <f>F23*AO23</f>
        <v>0</v>
      </c>
      <c r="I23" s="25">
        <f>F23*AP23</f>
        <v>0</v>
      </c>
      <c r="J23" s="25">
        <f>F23*G23</f>
        <v>0</v>
      </c>
      <c r="K23" s="26" t="s">
        <v>53</v>
      </c>
      <c r="Z23" s="25">
        <f>IF(AQ23="5",BJ23,0)</f>
        <v>0</v>
      </c>
      <c r="AB23" s="25">
        <f>IF(AQ23="1",BH23,0)</f>
        <v>0</v>
      </c>
      <c r="AC23" s="25">
        <f>IF(AQ23="1",BI23,0)</f>
        <v>0</v>
      </c>
      <c r="AD23" s="25">
        <f>IF(AQ23="7",BH23,0)</f>
        <v>0</v>
      </c>
      <c r="AE23" s="25">
        <f>IF(AQ23="7",BI23,0)</f>
        <v>0</v>
      </c>
      <c r="AF23" s="25">
        <f>IF(AQ23="2",BH23,0)</f>
        <v>0</v>
      </c>
      <c r="AG23" s="25">
        <f>IF(AQ23="2",BI23,0)</f>
        <v>0</v>
      </c>
      <c r="AH23" s="25">
        <f>IF(AQ23="0",BJ23,0)</f>
        <v>0</v>
      </c>
      <c r="AI23" s="11" t="s">
        <v>46</v>
      </c>
      <c r="AJ23" s="25">
        <f>IF(AN23=0,J23,0)</f>
        <v>0</v>
      </c>
      <c r="AK23" s="25">
        <f>IF(AN23=12,J23,0)</f>
        <v>0</v>
      </c>
      <c r="AL23" s="25">
        <f>IF(AN23=21,J23,0)</f>
        <v>0</v>
      </c>
      <c r="AN23" s="25">
        <v>12</v>
      </c>
      <c r="AO23" s="25">
        <f>G23*0.047428571</f>
        <v>0</v>
      </c>
      <c r="AP23" s="25">
        <f>G23*(1-0.047428571)</f>
        <v>0</v>
      </c>
      <c r="AQ23" s="27" t="s">
        <v>49</v>
      </c>
      <c r="AV23" s="25">
        <f>AW23+AX23</f>
        <v>0</v>
      </c>
      <c r="AW23" s="25">
        <f>F23*AO23</f>
        <v>0</v>
      </c>
      <c r="AX23" s="25">
        <f>F23*AP23</f>
        <v>0</v>
      </c>
      <c r="AY23" s="27" t="s">
        <v>82</v>
      </c>
      <c r="AZ23" s="27" t="s">
        <v>63</v>
      </c>
      <c r="BA23" s="11" t="s">
        <v>56</v>
      </c>
      <c r="BC23" s="25">
        <f>AW23+AX23</f>
        <v>0</v>
      </c>
      <c r="BD23" s="25">
        <f>G23/(100-BE23)*100</f>
        <v>0</v>
      </c>
      <c r="BE23" s="25">
        <v>0</v>
      </c>
      <c r="BF23" s="25">
        <f>23</f>
        <v>23</v>
      </c>
      <c r="BH23" s="25">
        <f>F23*AO23</f>
        <v>0</v>
      </c>
      <c r="BI23" s="25">
        <f>F23*AP23</f>
        <v>0</v>
      </c>
      <c r="BJ23" s="25">
        <f>F23*G23</f>
        <v>0</v>
      </c>
      <c r="BK23" s="25"/>
      <c r="BL23" s="25">
        <v>64</v>
      </c>
      <c r="BW23" s="25">
        <v>12</v>
      </c>
      <c r="BX23" s="5" t="s">
        <v>88</v>
      </c>
    </row>
    <row r="24" spans="1:76" x14ac:dyDescent="0.25">
      <c r="A24" s="28" t="s">
        <v>46</v>
      </c>
      <c r="B24" s="29" t="s">
        <v>89</v>
      </c>
      <c r="C24" s="138" t="s">
        <v>90</v>
      </c>
      <c r="D24" s="139"/>
      <c r="E24" s="30" t="s">
        <v>4</v>
      </c>
      <c r="F24" s="30" t="s">
        <v>4</v>
      </c>
      <c r="G24" s="30" t="s">
        <v>4</v>
      </c>
      <c r="H24" s="1">
        <f>SUM(H25:H35)</f>
        <v>0</v>
      </c>
      <c r="I24" s="1">
        <f>SUM(I25:I35)</f>
        <v>0</v>
      </c>
      <c r="J24" s="1">
        <f>SUM(J25:J35)</f>
        <v>0</v>
      </c>
      <c r="K24" s="31" t="s">
        <v>46</v>
      </c>
      <c r="AI24" s="11" t="s">
        <v>46</v>
      </c>
      <c r="AS24" s="1">
        <f>SUM(AJ25:AJ35)</f>
        <v>0</v>
      </c>
      <c r="AT24" s="1">
        <f>SUM(AK25:AK35)</f>
        <v>0</v>
      </c>
      <c r="AU24" s="1">
        <f>SUM(AL25:AL35)</f>
        <v>0</v>
      </c>
    </row>
    <row r="25" spans="1:76" x14ac:dyDescent="0.25">
      <c r="A25" s="2" t="s">
        <v>91</v>
      </c>
      <c r="B25" s="3" t="s">
        <v>92</v>
      </c>
      <c r="C25" s="79" t="s">
        <v>93</v>
      </c>
      <c r="D25" s="76"/>
      <c r="E25" s="3" t="s">
        <v>81</v>
      </c>
      <c r="F25" s="25">
        <v>21</v>
      </c>
      <c r="G25" s="69">
        <v>0</v>
      </c>
      <c r="H25" s="25">
        <f t="shared" ref="H25:H35" si="0">F25*AO25</f>
        <v>0</v>
      </c>
      <c r="I25" s="25">
        <f t="shared" ref="I25:I35" si="1">F25*AP25</f>
        <v>0</v>
      </c>
      <c r="J25" s="25">
        <f t="shared" ref="J25:J35" si="2">F25*G25</f>
        <v>0</v>
      </c>
      <c r="K25" s="26" t="s">
        <v>53</v>
      </c>
      <c r="Z25" s="25">
        <f t="shared" ref="Z25:Z35" si="3">IF(AQ25="5",BJ25,0)</f>
        <v>0</v>
      </c>
      <c r="AB25" s="25">
        <f t="shared" ref="AB25:AB35" si="4">IF(AQ25="1",BH25,0)</f>
        <v>0</v>
      </c>
      <c r="AC25" s="25">
        <f t="shared" ref="AC25:AC35" si="5">IF(AQ25="1",BI25,0)</f>
        <v>0</v>
      </c>
      <c r="AD25" s="25">
        <f t="shared" ref="AD25:AD35" si="6">IF(AQ25="7",BH25,0)</f>
        <v>0</v>
      </c>
      <c r="AE25" s="25">
        <f t="shared" ref="AE25:AE35" si="7">IF(AQ25="7",BI25,0)</f>
        <v>0</v>
      </c>
      <c r="AF25" s="25">
        <f t="shared" ref="AF25:AF35" si="8">IF(AQ25="2",BH25,0)</f>
        <v>0</v>
      </c>
      <c r="AG25" s="25">
        <f t="shared" ref="AG25:AG35" si="9">IF(AQ25="2",BI25,0)</f>
        <v>0</v>
      </c>
      <c r="AH25" s="25">
        <f t="shared" ref="AH25:AH35" si="10">IF(AQ25="0",BJ25,0)</f>
        <v>0</v>
      </c>
      <c r="AI25" s="11" t="s">
        <v>46</v>
      </c>
      <c r="AJ25" s="25">
        <f t="shared" ref="AJ25:AJ35" si="11">IF(AN25=0,J25,0)</f>
        <v>0</v>
      </c>
      <c r="AK25" s="25">
        <f t="shared" ref="AK25:AK35" si="12">IF(AN25=12,J25,0)</f>
        <v>0</v>
      </c>
      <c r="AL25" s="25">
        <f t="shared" ref="AL25:AL35" si="13">IF(AN25=21,J25,0)</f>
        <v>0</v>
      </c>
      <c r="AN25" s="25">
        <v>12</v>
      </c>
      <c r="AO25" s="25">
        <f>G25*0.79612</f>
        <v>0</v>
      </c>
      <c r="AP25" s="25">
        <f>G25*(1-0.79612)</f>
        <v>0</v>
      </c>
      <c r="AQ25" s="27" t="s">
        <v>78</v>
      </c>
      <c r="AV25" s="25">
        <f t="shared" ref="AV25:AV35" si="14">AW25+AX25</f>
        <v>0</v>
      </c>
      <c r="AW25" s="25">
        <f t="shared" ref="AW25:AW35" si="15">F25*AO25</f>
        <v>0</v>
      </c>
      <c r="AX25" s="25">
        <f t="shared" ref="AX25:AX35" si="16">F25*AP25</f>
        <v>0</v>
      </c>
      <c r="AY25" s="27" t="s">
        <v>94</v>
      </c>
      <c r="AZ25" s="27" t="s">
        <v>95</v>
      </c>
      <c r="BA25" s="11" t="s">
        <v>56</v>
      </c>
      <c r="BC25" s="25">
        <f t="shared" ref="BC25:BC35" si="17">AW25+AX25</f>
        <v>0</v>
      </c>
      <c r="BD25" s="25">
        <f t="shared" ref="BD25:BD35" si="18">G25/(100-BE25)*100</f>
        <v>0</v>
      </c>
      <c r="BE25" s="25">
        <v>0</v>
      </c>
      <c r="BF25" s="25">
        <f>25</f>
        <v>25</v>
      </c>
      <c r="BH25" s="25">
        <f t="shared" ref="BH25:BH35" si="19">F25*AO25</f>
        <v>0</v>
      </c>
      <c r="BI25" s="25">
        <f t="shared" ref="BI25:BI35" si="20">F25*AP25</f>
        <v>0</v>
      </c>
      <c r="BJ25" s="25">
        <f t="shared" ref="BJ25:BJ35" si="21">F25*G25</f>
        <v>0</v>
      </c>
      <c r="BK25" s="25"/>
      <c r="BL25" s="25">
        <v>712</v>
      </c>
      <c r="BW25" s="25">
        <v>12</v>
      </c>
      <c r="BX25" s="5" t="s">
        <v>93</v>
      </c>
    </row>
    <row r="26" spans="1:76" ht="25.5" x14ac:dyDescent="0.25">
      <c r="A26" s="2" t="s">
        <v>47</v>
      </c>
      <c r="B26" s="3" t="s">
        <v>96</v>
      </c>
      <c r="C26" s="79" t="s">
        <v>97</v>
      </c>
      <c r="D26" s="76"/>
      <c r="E26" s="3" t="s">
        <v>52</v>
      </c>
      <c r="F26" s="25">
        <v>617.96</v>
      </c>
      <c r="G26" s="69">
        <v>0</v>
      </c>
      <c r="H26" s="25">
        <f t="shared" si="0"/>
        <v>0</v>
      </c>
      <c r="I26" s="25">
        <f t="shared" si="1"/>
        <v>0</v>
      </c>
      <c r="J26" s="25">
        <f t="shared" si="2"/>
        <v>0</v>
      </c>
      <c r="K26" s="26" t="s">
        <v>53</v>
      </c>
      <c r="Z26" s="25">
        <f t="shared" si="3"/>
        <v>0</v>
      </c>
      <c r="AB26" s="25">
        <f t="shared" si="4"/>
        <v>0</v>
      </c>
      <c r="AC26" s="25">
        <f t="shared" si="5"/>
        <v>0</v>
      </c>
      <c r="AD26" s="25">
        <f t="shared" si="6"/>
        <v>0</v>
      </c>
      <c r="AE26" s="25">
        <f t="shared" si="7"/>
        <v>0</v>
      </c>
      <c r="AF26" s="25">
        <f t="shared" si="8"/>
        <v>0</v>
      </c>
      <c r="AG26" s="25">
        <f t="shared" si="9"/>
        <v>0</v>
      </c>
      <c r="AH26" s="25">
        <f t="shared" si="10"/>
        <v>0</v>
      </c>
      <c r="AI26" s="11" t="s">
        <v>46</v>
      </c>
      <c r="AJ26" s="25">
        <f t="shared" si="11"/>
        <v>0</v>
      </c>
      <c r="AK26" s="25">
        <f t="shared" si="12"/>
        <v>0</v>
      </c>
      <c r="AL26" s="25">
        <f t="shared" si="13"/>
        <v>0</v>
      </c>
      <c r="AN26" s="25">
        <v>12</v>
      </c>
      <c r="AO26" s="25">
        <f>G26*0.207880411</f>
        <v>0</v>
      </c>
      <c r="AP26" s="25">
        <f>G26*(1-0.207880411)</f>
        <v>0</v>
      </c>
      <c r="AQ26" s="27" t="s">
        <v>78</v>
      </c>
      <c r="AV26" s="25">
        <f t="shared" si="14"/>
        <v>0</v>
      </c>
      <c r="AW26" s="25">
        <f t="shared" si="15"/>
        <v>0</v>
      </c>
      <c r="AX26" s="25">
        <f t="shared" si="16"/>
        <v>0</v>
      </c>
      <c r="AY26" s="27" t="s">
        <v>94</v>
      </c>
      <c r="AZ26" s="27" t="s">
        <v>95</v>
      </c>
      <c r="BA26" s="11" t="s">
        <v>56</v>
      </c>
      <c r="BC26" s="25">
        <f t="shared" si="17"/>
        <v>0</v>
      </c>
      <c r="BD26" s="25">
        <f t="shared" si="18"/>
        <v>0</v>
      </c>
      <c r="BE26" s="25">
        <v>0</v>
      </c>
      <c r="BF26" s="25">
        <f>26</f>
        <v>26</v>
      </c>
      <c r="BH26" s="25">
        <f t="shared" si="19"/>
        <v>0</v>
      </c>
      <c r="BI26" s="25">
        <f t="shared" si="20"/>
        <v>0</v>
      </c>
      <c r="BJ26" s="25">
        <f t="shared" si="21"/>
        <v>0</v>
      </c>
      <c r="BK26" s="25"/>
      <c r="BL26" s="25">
        <v>712</v>
      </c>
      <c r="BW26" s="25">
        <v>12</v>
      </c>
      <c r="BX26" s="5" t="s">
        <v>97</v>
      </c>
    </row>
    <row r="27" spans="1:76" x14ac:dyDescent="0.25">
      <c r="A27" s="2" t="s">
        <v>98</v>
      </c>
      <c r="B27" s="3" t="s">
        <v>99</v>
      </c>
      <c r="C27" s="79" t="s">
        <v>100</v>
      </c>
      <c r="D27" s="76"/>
      <c r="E27" s="3" t="s">
        <v>52</v>
      </c>
      <c r="F27" s="25">
        <v>678.7</v>
      </c>
      <c r="G27" s="69">
        <v>0</v>
      </c>
      <c r="H27" s="25">
        <f t="shared" si="0"/>
        <v>0</v>
      </c>
      <c r="I27" s="25">
        <f t="shared" si="1"/>
        <v>0</v>
      </c>
      <c r="J27" s="25">
        <f t="shared" si="2"/>
        <v>0</v>
      </c>
      <c r="K27" s="26" t="s">
        <v>53</v>
      </c>
      <c r="Z27" s="25">
        <f t="shared" si="3"/>
        <v>0</v>
      </c>
      <c r="AB27" s="25">
        <f t="shared" si="4"/>
        <v>0</v>
      </c>
      <c r="AC27" s="25">
        <f t="shared" si="5"/>
        <v>0</v>
      </c>
      <c r="AD27" s="25">
        <f t="shared" si="6"/>
        <v>0</v>
      </c>
      <c r="AE27" s="25">
        <f t="shared" si="7"/>
        <v>0</v>
      </c>
      <c r="AF27" s="25">
        <f t="shared" si="8"/>
        <v>0</v>
      </c>
      <c r="AG27" s="25">
        <f t="shared" si="9"/>
        <v>0</v>
      </c>
      <c r="AH27" s="25">
        <f t="shared" si="10"/>
        <v>0</v>
      </c>
      <c r="AI27" s="11" t="s">
        <v>46</v>
      </c>
      <c r="AJ27" s="25">
        <f t="shared" si="11"/>
        <v>0</v>
      </c>
      <c r="AK27" s="25">
        <f t="shared" si="12"/>
        <v>0</v>
      </c>
      <c r="AL27" s="25">
        <f t="shared" si="13"/>
        <v>0</v>
      </c>
      <c r="AN27" s="25">
        <v>12</v>
      </c>
      <c r="AO27" s="25">
        <f>G27*1</f>
        <v>0</v>
      </c>
      <c r="AP27" s="25">
        <f>G27*(1-1)</f>
        <v>0</v>
      </c>
      <c r="AQ27" s="27" t="s">
        <v>78</v>
      </c>
      <c r="AV27" s="25">
        <f t="shared" si="14"/>
        <v>0</v>
      </c>
      <c r="AW27" s="25">
        <f t="shared" si="15"/>
        <v>0</v>
      </c>
      <c r="AX27" s="25">
        <f t="shared" si="16"/>
        <v>0</v>
      </c>
      <c r="AY27" s="27" t="s">
        <v>94</v>
      </c>
      <c r="AZ27" s="27" t="s">
        <v>95</v>
      </c>
      <c r="BA27" s="11" t="s">
        <v>56</v>
      </c>
      <c r="BC27" s="25">
        <f t="shared" si="17"/>
        <v>0</v>
      </c>
      <c r="BD27" s="25">
        <f t="shared" si="18"/>
        <v>0</v>
      </c>
      <c r="BE27" s="25">
        <v>0</v>
      </c>
      <c r="BF27" s="25">
        <f>27</f>
        <v>27</v>
      </c>
      <c r="BH27" s="25">
        <f t="shared" si="19"/>
        <v>0</v>
      </c>
      <c r="BI27" s="25">
        <f t="shared" si="20"/>
        <v>0</v>
      </c>
      <c r="BJ27" s="25">
        <f t="shared" si="21"/>
        <v>0</v>
      </c>
      <c r="BK27" s="25"/>
      <c r="BL27" s="25">
        <v>712</v>
      </c>
      <c r="BW27" s="25">
        <v>12</v>
      </c>
      <c r="BX27" s="5" t="s">
        <v>100</v>
      </c>
    </row>
    <row r="28" spans="1:76" x14ac:dyDescent="0.25">
      <c r="A28" s="2" t="s">
        <v>101</v>
      </c>
      <c r="B28" s="3" t="s">
        <v>102</v>
      </c>
      <c r="C28" s="79" t="s">
        <v>103</v>
      </c>
      <c r="D28" s="76"/>
      <c r="E28" s="3" t="s">
        <v>52</v>
      </c>
      <c r="F28" s="25">
        <v>617.96</v>
      </c>
      <c r="G28" s="69">
        <v>0</v>
      </c>
      <c r="H28" s="25">
        <f t="shared" si="0"/>
        <v>0</v>
      </c>
      <c r="I28" s="25">
        <f t="shared" si="1"/>
        <v>0</v>
      </c>
      <c r="J28" s="25">
        <f t="shared" si="2"/>
        <v>0</v>
      </c>
      <c r="K28" s="26" t="s">
        <v>53</v>
      </c>
      <c r="Z28" s="25">
        <f t="shared" si="3"/>
        <v>0</v>
      </c>
      <c r="AB28" s="25">
        <f t="shared" si="4"/>
        <v>0</v>
      </c>
      <c r="AC28" s="25">
        <f t="shared" si="5"/>
        <v>0</v>
      </c>
      <c r="AD28" s="25">
        <f t="shared" si="6"/>
        <v>0</v>
      </c>
      <c r="AE28" s="25">
        <f t="shared" si="7"/>
        <v>0</v>
      </c>
      <c r="AF28" s="25">
        <f t="shared" si="8"/>
        <v>0</v>
      </c>
      <c r="AG28" s="25">
        <f t="shared" si="9"/>
        <v>0</v>
      </c>
      <c r="AH28" s="25">
        <f t="shared" si="10"/>
        <v>0</v>
      </c>
      <c r="AI28" s="11" t="s">
        <v>46</v>
      </c>
      <c r="AJ28" s="25">
        <f t="shared" si="11"/>
        <v>0</v>
      </c>
      <c r="AK28" s="25">
        <f t="shared" si="12"/>
        <v>0</v>
      </c>
      <c r="AL28" s="25">
        <f t="shared" si="13"/>
        <v>0</v>
      </c>
      <c r="AN28" s="25">
        <v>12</v>
      </c>
      <c r="AO28" s="25">
        <f>G28*0.277735484</f>
        <v>0</v>
      </c>
      <c r="AP28" s="25">
        <f>G28*(1-0.277735484)</f>
        <v>0</v>
      </c>
      <c r="AQ28" s="27" t="s">
        <v>78</v>
      </c>
      <c r="AV28" s="25">
        <f t="shared" si="14"/>
        <v>0</v>
      </c>
      <c r="AW28" s="25">
        <f t="shared" si="15"/>
        <v>0</v>
      </c>
      <c r="AX28" s="25">
        <f t="shared" si="16"/>
        <v>0</v>
      </c>
      <c r="AY28" s="27" t="s">
        <v>94</v>
      </c>
      <c r="AZ28" s="27" t="s">
        <v>95</v>
      </c>
      <c r="BA28" s="11" t="s">
        <v>56</v>
      </c>
      <c r="BC28" s="25">
        <f t="shared" si="17"/>
        <v>0</v>
      </c>
      <c r="BD28" s="25">
        <f t="shared" si="18"/>
        <v>0</v>
      </c>
      <c r="BE28" s="25">
        <v>0</v>
      </c>
      <c r="BF28" s="25">
        <f>28</f>
        <v>28</v>
      </c>
      <c r="BH28" s="25">
        <f t="shared" si="19"/>
        <v>0</v>
      </c>
      <c r="BI28" s="25">
        <f t="shared" si="20"/>
        <v>0</v>
      </c>
      <c r="BJ28" s="25">
        <f t="shared" si="21"/>
        <v>0</v>
      </c>
      <c r="BK28" s="25"/>
      <c r="BL28" s="25">
        <v>712</v>
      </c>
      <c r="BW28" s="25">
        <v>12</v>
      </c>
      <c r="BX28" s="5" t="s">
        <v>103</v>
      </c>
    </row>
    <row r="29" spans="1:76" x14ac:dyDescent="0.25">
      <c r="A29" s="2" t="s">
        <v>104</v>
      </c>
      <c r="B29" s="3" t="s">
        <v>105</v>
      </c>
      <c r="C29" s="79" t="s">
        <v>106</v>
      </c>
      <c r="D29" s="76"/>
      <c r="E29" s="3" t="s">
        <v>81</v>
      </c>
      <c r="F29" s="25">
        <v>2</v>
      </c>
      <c r="G29" s="69">
        <v>0</v>
      </c>
      <c r="H29" s="25">
        <f t="shared" si="0"/>
        <v>0</v>
      </c>
      <c r="I29" s="25">
        <f t="shared" si="1"/>
        <v>0</v>
      </c>
      <c r="J29" s="25">
        <f t="shared" si="2"/>
        <v>0</v>
      </c>
      <c r="K29" s="26" t="s">
        <v>53</v>
      </c>
      <c r="Z29" s="25">
        <f t="shared" si="3"/>
        <v>0</v>
      </c>
      <c r="AB29" s="25">
        <f t="shared" si="4"/>
        <v>0</v>
      </c>
      <c r="AC29" s="25">
        <f t="shared" si="5"/>
        <v>0</v>
      </c>
      <c r="AD29" s="25">
        <f t="shared" si="6"/>
        <v>0</v>
      </c>
      <c r="AE29" s="25">
        <f t="shared" si="7"/>
        <v>0</v>
      </c>
      <c r="AF29" s="25">
        <f t="shared" si="8"/>
        <v>0</v>
      </c>
      <c r="AG29" s="25">
        <f t="shared" si="9"/>
        <v>0</v>
      </c>
      <c r="AH29" s="25">
        <f t="shared" si="10"/>
        <v>0</v>
      </c>
      <c r="AI29" s="11" t="s">
        <v>46</v>
      </c>
      <c r="AJ29" s="25">
        <f t="shared" si="11"/>
        <v>0</v>
      </c>
      <c r="AK29" s="25">
        <f t="shared" si="12"/>
        <v>0</v>
      </c>
      <c r="AL29" s="25">
        <f t="shared" si="13"/>
        <v>0</v>
      </c>
      <c r="AN29" s="25">
        <v>12</v>
      </c>
      <c r="AO29" s="25">
        <f>G29*0.784789508</f>
        <v>0</v>
      </c>
      <c r="AP29" s="25">
        <f>G29*(1-0.784789508)</f>
        <v>0</v>
      </c>
      <c r="AQ29" s="27" t="s">
        <v>78</v>
      </c>
      <c r="AV29" s="25">
        <f t="shared" si="14"/>
        <v>0</v>
      </c>
      <c r="AW29" s="25">
        <f t="shared" si="15"/>
        <v>0</v>
      </c>
      <c r="AX29" s="25">
        <f t="shared" si="16"/>
        <v>0</v>
      </c>
      <c r="AY29" s="27" t="s">
        <v>94</v>
      </c>
      <c r="AZ29" s="27" t="s">
        <v>95</v>
      </c>
      <c r="BA29" s="11" t="s">
        <v>56</v>
      </c>
      <c r="BC29" s="25">
        <f t="shared" si="17"/>
        <v>0</v>
      </c>
      <c r="BD29" s="25">
        <f t="shared" si="18"/>
        <v>0</v>
      </c>
      <c r="BE29" s="25">
        <v>0</v>
      </c>
      <c r="BF29" s="25">
        <f>29</f>
        <v>29</v>
      </c>
      <c r="BH29" s="25">
        <f t="shared" si="19"/>
        <v>0</v>
      </c>
      <c r="BI29" s="25">
        <f t="shared" si="20"/>
        <v>0</v>
      </c>
      <c r="BJ29" s="25">
        <f t="shared" si="21"/>
        <v>0</v>
      </c>
      <c r="BK29" s="25"/>
      <c r="BL29" s="25">
        <v>712</v>
      </c>
      <c r="BW29" s="25">
        <v>12</v>
      </c>
      <c r="BX29" s="5" t="s">
        <v>106</v>
      </c>
    </row>
    <row r="30" spans="1:76" x14ac:dyDescent="0.25">
      <c r="A30" s="2" t="s">
        <v>107</v>
      </c>
      <c r="B30" s="3" t="s">
        <v>108</v>
      </c>
      <c r="C30" s="79" t="s">
        <v>109</v>
      </c>
      <c r="D30" s="76"/>
      <c r="E30" s="3" t="s">
        <v>110</v>
      </c>
      <c r="F30" s="25">
        <v>150.9</v>
      </c>
      <c r="G30" s="69">
        <v>0</v>
      </c>
      <c r="H30" s="25">
        <f t="shared" si="0"/>
        <v>0</v>
      </c>
      <c r="I30" s="25">
        <f t="shared" si="1"/>
        <v>0</v>
      </c>
      <c r="J30" s="25">
        <f t="shared" si="2"/>
        <v>0</v>
      </c>
      <c r="K30" s="26" t="s">
        <v>53</v>
      </c>
      <c r="Z30" s="25">
        <f t="shared" si="3"/>
        <v>0</v>
      </c>
      <c r="AB30" s="25">
        <f t="shared" si="4"/>
        <v>0</v>
      </c>
      <c r="AC30" s="25">
        <f t="shared" si="5"/>
        <v>0</v>
      </c>
      <c r="AD30" s="25">
        <f t="shared" si="6"/>
        <v>0</v>
      </c>
      <c r="AE30" s="25">
        <f t="shared" si="7"/>
        <v>0</v>
      </c>
      <c r="AF30" s="25">
        <f t="shared" si="8"/>
        <v>0</v>
      </c>
      <c r="AG30" s="25">
        <f t="shared" si="9"/>
        <v>0</v>
      </c>
      <c r="AH30" s="25">
        <f t="shared" si="10"/>
        <v>0</v>
      </c>
      <c r="AI30" s="11" t="s">
        <v>46</v>
      </c>
      <c r="AJ30" s="25">
        <f t="shared" si="11"/>
        <v>0</v>
      </c>
      <c r="AK30" s="25">
        <f t="shared" si="12"/>
        <v>0</v>
      </c>
      <c r="AL30" s="25">
        <f t="shared" si="13"/>
        <v>0</v>
      </c>
      <c r="AN30" s="25">
        <v>12</v>
      </c>
      <c r="AO30" s="25">
        <f>G30*0.540823646</f>
        <v>0</v>
      </c>
      <c r="AP30" s="25">
        <f>G30*(1-0.540823646)</f>
        <v>0</v>
      </c>
      <c r="AQ30" s="27" t="s">
        <v>78</v>
      </c>
      <c r="AV30" s="25">
        <f t="shared" si="14"/>
        <v>0</v>
      </c>
      <c r="AW30" s="25">
        <f t="shared" si="15"/>
        <v>0</v>
      </c>
      <c r="AX30" s="25">
        <f t="shared" si="16"/>
        <v>0</v>
      </c>
      <c r="AY30" s="27" t="s">
        <v>94</v>
      </c>
      <c r="AZ30" s="27" t="s">
        <v>95</v>
      </c>
      <c r="BA30" s="11" t="s">
        <v>56</v>
      </c>
      <c r="BC30" s="25">
        <f t="shared" si="17"/>
        <v>0</v>
      </c>
      <c r="BD30" s="25">
        <f t="shared" si="18"/>
        <v>0</v>
      </c>
      <c r="BE30" s="25">
        <v>0</v>
      </c>
      <c r="BF30" s="25">
        <f>30</f>
        <v>30</v>
      </c>
      <c r="BH30" s="25">
        <f t="shared" si="19"/>
        <v>0</v>
      </c>
      <c r="BI30" s="25">
        <f t="shared" si="20"/>
        <v>0</v>
      </c>
      <c r="BJ30" s="25">
        <f t="shared" si="21"/>
        <v>0</v>
      </c>
      <c r="BK30" s="25"/>
      <c r="BL30" s="25">
        <v>712</v>
      </c>
      <c r="BW30" s="25">
        <v>12</v>
      </c>
      <c r="BX30" s="5" t="s">
        <v>109</v>
      </c>
    </row>
    <row r="31" spans="1:76" x14ac:dyDescent="0.25">
      <c r="A31" s="2" t="s">
        <v>111</v>
      </c>
      <c r="B31" s="3" t="s">
        <v>112</v>
      </c>
      <c r="C31" s="79" t="s">
        <v>113</v>
      </c>
      <c r="D31" s="76"/>
      <c r="E31" s="3" t="s">
        <v>110</v>
      </c>
      <c r="F31" s="25">
        <v>243.1</v>
      </c>
      <c r="G31" s="69">
        <v>0</v>
      </c>
      <c r="H31" s="25">
        <f t="shared" si="0"/>
        <v>0</v>
      </c>
      <c r="I31" s="25">
        <f t="shared" si="1"/>
        <v>0</v>
      </c>
      <c r="J31" s="25">
        <f t="shared" si="2"/>
        <v>0</v>
      </c>
      <c r="K31" s="26" t="s">
        <v>53</v>
      </c>
      <c r="Z31" s="25">
        <f t="shared" si="3"/>
        <v>0</v>
      </c>
      <c r="AB31" s="25">
        <f t="shared" si="4"/>
        <v>0</v>
      </c>
      <c r="AC31" s="25">
        <f t="shared" si="5"/>
        <v>0</v>
      </c>
      <c r="AD31" s="25">
        <f t="shared" si="6"/>
        <v>0</v>
      </c>
      <c r="AE31" s="25">
        <f t="shared" si="7"/>
        <v>0</v>
      </c>
      <c r="AF31" s="25">
        <f t="shared" si="8"/>
        <v>0</v>
      </c>
      <c r="AG31" s="25">
        <f t="shared" si="9"/>
        <v>0</v>
      </c>
      <c r="AH31" s="25">
        <f t="shared" si="10"/>
        <v>0</v>
      </c>
      <c r="AI31" s="11" t="s">
        <v>46</v>
      </c>
      <c r="AJ31" s="25">
        <f t="shared" si="11"/>
        <v>0</v>
      </c>
      <c r="AK31" s="25">
        <f t="shared" si="12"/>
        <v>0</v>
      </c>
      <c r="AL31" s="25">
        <f t="shared" si="13"/>
        <v>0</v>
      </c>
      <c r="AN31" s="25">
        <v>12</v>
      </c>
      <c r="AO31" s="25">
        <f>G31*0.505766457</f>
        <v>0</v>
      </c>
      <c r="AP31" s="25">
        <f>G31*(1-0.505766457)</f>
        <v>0</v>
      </c>
      <c r="AQ31" s="27" t="s">
        <v>78</v>
      </c>
      <c r="AV31" s="25">
        <f t="shared" si="14"/>
        <v>0</v>
      </c>
      <c r="AW31" s="25">
        <f t="shared" si="15"/>
        <v>0</v>
      </c>
      <c r="AX31" s="25">
        <f t="shared" si="16"/>
        <v>0</v>
      </c>
      <c r="AY31" s="27" t="s">
        <v>94</v>
      </c>
      <c r="AZ31" s="27" t="s">
        <v>95</v>
      </c>
      <c r="BA31" s="11" t="s">
        <v>56</v>
      </c>
      <c r="BC31" s="25">
        <f t="shared" si="17"/>
        <v>0</v>
      </c>
      <c r="BD31" s="25">
        <f t="shared" si="18"/>
        <v>0</v>
      </c>
      <c r="BE31" s="25">
        <v>0</v>
      </c>
      <c r="BF31" s="25">
        <f>31</f>
        <v>31</v>
      </c>
      <c r="BH31" s="25">
        <f t="shared" si="19"/>
        <v>0</v>
      </c>
      <c r="BI31" s="25">
        <f t="shared" si="20"/>
        <v>0</v>
      </c>
      <c r="BJ31" s="25">
        <f t="shared" si="21"/>
        <v>0</v>
      </c>
      <c r="BK31" s="25"/>
      <c r="BL31" s="25">
        <v>712</v>
      </c>
      <c r="BW31" s="25">
        <v>12</v>
      </c>
      <c r="BX31" s="5" t="s">
        <v>113</v>
      </c>
    </row>
    <row r="32" spans="1:76" x14ac:dyDescent="0.25">
      <c r="A32" s="2" t="s">
        <v>114</v>
      </c>
      <c r="B32" s="3" t="s">
        <v>115</v>
      </c>
      <c r="C32" s="79" t="s">
        <v>116</v>
      </c>
      <c r="D32" s="76"/>
      <c r="E32" s="3" t="s">
        <v>110</v>
      </c>
      <c r="F32" s="25">
        <v>150.9</v>
      </c>
      <c r="G32" s="69">
        <v>0</v>
      </c>
      <c r="H32" s="25">
        <f t="shared" si="0"/>
        <v>0</v>
      </c>
      <c r="I32" s="25">
        <f t="shared" si="1"/>
        <v>0</v>
      </c>
      <c r="J32" s="25">
        <f t="shared" si="2"/>
        <v>0</v>
      </c>
      <c r="K32" s="26" t="s">
        <v>53</v>
      </c>
      <c r="Z32" s="25">
        <f t="shared" si="3"/>
        <v>0</v>
      </c>
      <c r="AB32" s="25">
        <f t="shared" si="4"/>
        <v>0</v>
      </c>
      <c r="AC32" s="25">
        <f t="shared" si="5"/>
        <v>0</v>
      </c>
      <c r="AD32" s="25">
        <f t="shared" si="6"/>
        <v>0</v>
      </c>
      <c r="AE32" s="25">
        <f t="shared" si="7"/>
        <v>0</v>
      </c>
      <c r="AF32" s="25">
        <f t="shared" si="8"/>
        <v>0</v>
      </c>
      <c r="AG32" s="25">
        <f t="shared" si="9"/>
        <v>0</v>
      </c>
      <c r="AH32" s="25">
        <f t="shared" si="10"/>
        <v>0</v>
      </c>
      <c r="AI32" s="11" t="s">
        <v>46</v>
      </c>
      <c r="AJ32" s="25">
        <f t="shared" si="11"/>
        <v>0</v>
      </c>
      <c r="AK32" s="25">
        <f t="shared" si="12"/>
        <v>0</v>
      </c>
      <c r="AL32" s="25">
        <f t="shared" si="13"/>
        <v>0</v>
      </c>
      <c r="AN32" s="25">
        <v>12</v>
      </c>
      <c r="AO32" s="25">
        <f>G32*0.652311449</f>
        <v>0</v>
      </c>
      <c r="AP32" s="25">
        <f>G32*(1-0.652311449)</f>
        <v>0</v>
      </c>
      <c r="AQ32" s="27" t="s">
        <v>78</v>
      </c>
      <c r="AV32" s="25">
        <f t="shared" si="14"/>
        <v>0</v>
      </c>
      <c r="AW32" s="25">
        <f t="shared" si="15"/>
        <v>0</v>
      </c>
      <c r="AX32" s="25">
        <f t="shared" si="16"/>
        <v>0</v>
      </c>
      <c r="AY32" s="27" t="s">
        <v>94</v>
      </c>
      <c r="AZ32" s="27" t="s">
        <v>95</v>
      </c>
      <c r="BA32" s="11" t="s">
        <v>56</v>
      </c>
      <c r="BC32" s="25">
        <f t="shared" si="17"/>
        <v>0</v>
      </c>
      <c r="BD32" s="25">
        <f t="shared" si="18"/>
        <v>0</v>
      </c>
      <c r="BE32" s="25">
        <v>0</v>
      </c>
      <c r="BF32" s="25">
        <f>32</f>
        <v>32</v>
      </c>
      <c r="BH32" s="25">
        <f t="shared" si="19"/>
        <v>0</v>
      </c>
      <c r="BI32" s="25">
        <f t="shared" si="20"/>
        <v>0</v>
      </c>
      <c r="BJ32" s="25">
        <f t="shared" si="21"/>
        <v>0</v>
      </c>
      <c r="BK32" s="25"/>
      <c r="BL32" s="25">
        <v>712</v>
      </c>
      <c r="BW32" s="25">
        <v>12</v>
      </c>
      <c r="BX32" s="5" t="s">
        <v>116</v>
      </c>
    </row>
    <row r="33" spans="1:76" x14ac:dyDescent="0.25">
      <c r="A33" s="2" t="s">
        <v>117</v>
      </c>
      <c r="B33" s="3" t="s">
        <v>118</v>
      </c>
      <c r="C33" s="79" t="s">
        <v>119</v>
      </c>
      <c r="D33" s="76"/>
      <c r="E33" s="3" t="s">
        <v>81</v>
      </c>
      <c r="F33" s="25">
        <v>9</v>
      </c>
      <c r="G33" s="69">
        <v>0</v>
      </c>
      <c r="H33" s="25">
        <f t="shared" si="0"/>
        <v>0</v>
      </c>
      <c r="I33" s="25">
        <f t="shared" si="1"/>
        <v>0</v>
      </c>
      <c r="J33" s="25">
        <f t="shared" si="2"/>
        <v>0</v>
      </c>
      <c r="K33" s="26" t="s">
        <v>53</v>
      </c>
      <c r="Z33" s="25">
        <f t="shared" si="3"/>
        <v>0</v>
      </c>
      <c r="AB33" s="25">
        <f t="shared" si="4"/>
        <v>0</v>
      </c>
      <c r="AC33" s="25">
        <f t="shared" si="5"/>
        <v>0</v>
      </c>
      <c r="AD33" s="25">
        <f t="shared" si="6"/>
        <v>0</v>
      </c>
      <c r="AE33" s="25">
        <f t="shared" si="7"/>
        <v>0</v>
      </c>
      <c r="AF33" s="25">
        <f t="shared" si="8"/>
        <v>0</v>
      </c>
      <c r="AG33" s="25">
        <f t="shared" si="9"/>
        <v>0</v>
      </c>
      <c r="AH33" s="25">
        <f t="shared" si="10"/>
        <v>0</v>
      </c>
      <c r="AI33" s="11" t="s">
        <v>46</v>
      </c>
      <c r="AJ33" s="25">
        <f t="shared" si="11"/>
        <v>0</v>
      </c>
      <c r="AK33" s="25">
        <f t="shared" si="12"/>
        <v>0</v>
      </c>
      <c r="AL33" s="25">
        <f t="shared" si="13"/>
        <v>0</v>
      </c>
      <c r="AN33" s="25">
        <v>12</v>
      </c>
      <c r="AO33" s="25">
        <f>G33*0.618132635</f>
        <v>0</v>
      </c>
      <c r="AP33" s="25">
        <f>G33*(1-0.618132635)</f>
        <v>0</v>
      </c>
      <c r="AQ33" s="27" t="s">
        <v>78</v>
      </c>
      <c r="AV33" s="25">
        <f t="shared" si="14"/>
        <v>0</v>
      </c>
      <c r="AW33" s="25">
        <f t="shared" si="15"/>
        <v>0</v>
      </c>
      <c r="AX33" s="25">
        <f t="shared" si="16"/>
        <v>0</v>
      </c>
      <c r="AY33" s="27" t="s">
        <v>94</v>
      </c>
      <c r="AZ33" s="27" t="s">
        <v>95</v>
      </c>
      <c r="BA33" s="11" t="s">
        <v>56</v>
      </c>
      <c r="BC33" s="25">
        <f t="shared" si="17"/>
        <v>0</v>
      </c>
      <c r="BD33" s="25">
        <f t="shared" si="18"/>
        <v>0</v>
      </c>
      <c r="BE33" s="25">
        <v>0</v>
      </c>
      <c r="BF33" s="25">
        <f>33</f>
        <v>33</v>
      </c>
      <c r="BH33" s="25">
        <f t="shared" si="19"/>
        <v>0</v>
      </c>
      <c r="BI33" s="25">
        <f t="shared" si="20"/>
        <v>0</v>
      </c>
      <c r="BJ33" s="25">
        <f t="shared" si="21"/>
        <v>0</v>
      </c>
      <c r="BK33" s="25"/>
      <c r="BL33" s="25">
        <v>712</v>
      </c>
      <c r="BW33" s="25">
        <v>12</v>
      </c>
      <c r="BX33" s="5" t="s">
        <v>119</v>
      </c>
    </row>
    <row r="34" spans="1:76" x14ac:dyDescent="0.25">
      <c r="A34" s="2" t="s">
        <v>120</v>
      </c>
      <c r="B34" s="3" t="s">
        <v>121</v>
      </c>
      <c r="C34" s="79" t="s">
        <v>122</v>
      </c>
      <c r="D34" s="76"/>
      <c r="E34" s="3" t="s">
        <v>81</v>
      </c>
      <c r="F34" s="25">
        <v>49</v>
      </c>
      <c r="G34" s="69">
        <v>0</v>
      </c>
      <c r="H34" s="25">
        <f t="shared" si="0"/>
        <v>0</v>
      </c>
      <c r="I34" s="25">
        <f t="shared" si="1"/>
        <v>0</v>
      </c>
      <c r="J34" s="25">
        <f t="shared" si="2"/>
        <v>0</v>
      </c>
      <c r="K34" s="26" t="s">
        <v>53</v>
      </c>
      <c r="Z34" s="25">
        <f t="shared" si="3"/>
        <v>0</v>
      </c>
      <c r="AB34" s="25">
        <f t="shared" si="4"/>
        <v>0</v>
      </c>
      <c r="AC34" s="25">
        <f t="shared" si="5"/>
        <v>0</v>
      </c>
      <c r="AD34" s="25">
        <f t="shared" si="6"/>
        <v>0</v>
      </c>
      <c r="AE34" s="25">
        <f t="shared" si="7"/>
        <v>0</v>
      </c>
      <c r="AF34" s="25">
        <f t="shared" si="8"/>
        <v>0</v>
      </c>
      <c r="AG34" s="25">
        <f t="shared" si="9"/>
        <v>0</v>
      </c>
      <c r="AH34" s="25">
        <f t="shared" si="10"/>
        <v>0</v>
      </c>
      <c r="AI34" s="11" t="s">
        <v>46</v>
      </c>
      <c r="AJ34" s="25">
        <f t="shared" si="11"/>
        <v>0</v>
      </c>
      <c r="AK34" s="25">
        <f t="shared" si="12"/>
        <v>0</v>
      </c>
      <c r="AL34" s="25">
        <f t="shared" si="13"/>
        <v>0</v>
      </c>
      <c r="AN34" s="25">
        <v>12</v>
      </c>
      <c r="AO34" s="25">
        <f>G34*0.641689571</f>
        <v>0</v>
      </c>
      <c r="AP34" s="25">
        <f>G34*(1-0.641689571)</f>
        <v>0</v>
      </c>
      <c r="AQ34" s="27" t="s">
        <v>78</v>
      </c>
      <c r="AV34" s="25">
        <f t="shared" si="14"/>
        <v>0</v>
      </c>
      <c r="AW34" s="25">
        <f t="shared" si="15"/>
        <v>0</v>
      </c>
      <c r="AX34" s="25">
        <f t="shared" si="16"/>
        <v>0</v>
      </c>
      <c r="AY34" s="27" t="s">
        <v>94</v>
      </c>
      <c r="AZ34" s="27" t="s">
        <v>95</v>
      </c>
      <c r="BA34" s="11" t="s">
        <v>56</v>
      </c>
      <c r="BC34" s="25">
        <f t="shared" si="17"/>
        <v>0</v>
      </c>
      <c r="BD34" s="25">
        <f t="shared" si="18"/>
        <v>0</v>
      </c>
      <c r="BE34" s="25">
        <v>0</v>
      </c>
      <c r="BF34" s="25">
        <f>34</f>
        <v>34</v>
      </c>
      <c r="BH34" s="25">
        <f t="shared" si="19"/>
        <v>0</v>
      </c>
      <c r="BI34" s="25">
        <f t="shared" si="20"/>
        <v>0</v>
      </c>
      <c r="BJ34" s="25">
        <f t="shared" si="21"/>
        <v>0</v>
      </c>
      <c r="BK34" s="25"/>
      <c r="BL34" s="25">
        <v>712</v>
      </c>
      <c r="BW34" s="25">
        <v>12</v>
      </c>
      <c r="BX34" s="5" t="s">
        <v>122</v>
      </c>
    </row>
    <row r="35" spans="1:76" x14ac:dyDescent="0.25">
      <c r="A35" s="2" t="s">
        <v>123</v>
      </c>
      <c r="B35" s="3" t="s">
        <v>124</v>
      </c>
      <c r="C35" s="79" t="s">
        <v>125</v>
      </c>
      <c r="D35" s="76"/>
      <c r="E35" s="3" t="s">
        <v>126</v>
      </c>
      <c r="F35" s="69"/>
      <c r="G35" s="69">
        <v>0</v>
      </c>
      <c r="H35" s="25">
        <f t="shared" si="0"/>
        <v>0</v>
      </c>
      <c r="I35" s="25">
        <f t="shared" si="1"/>
        <v>0</v>
      </c>
      <c r="J35" s="25">
        <f t="shared" si="2"/>
        <v>0</v>
      </c>
      <c r="K35" s="26" t="s">
        <v>53</v>
      </c>
      <c r="Z35" s="25">
        <f t="shared" si="3"/>
        <v>0</v>
      </c>
      <c r="AB35" s="25">
        <f t="shared" si="4"/>
        <v>0</v>
      </c>
      <c r="AC35" s="25">
        <f t="shared" si="5"/>
        <v>0</v>
      </c>
      <c r="AD35" s="25">
        <f t="shared" si="6"/>
        <v>0</v>
      </c>
      <c r="AE35" s="25">
        <f t="shared" si="7"/>
        <v>0</v>
      </c>
      <c r="AF35" s="25">
        <f t="shared" si="8"/>
        <v>0</v>
      </c>
      <c r="AG35" s="25">
        <f t="shared" si="9"/>
        <v>0</v>
      </c>
      <c r="AH35" s="25">
        <f t="shared" si="10"/>
        <v>0</v>
      </c>
      <c r="AI35" s="11" t="s">
        <v>46</v>
      </c>
      <c r="AJ35" s="25">
        <f t="shared" si="11"/>
        <v>0</v>
      </c>
      <c r="AK35" s="25">
        <f t="shared" si="12"/>
        <v>0</v>
      </c>
      <c r="AL35" s="25">
        <f t="shared" si="13"/>
        <v>0</v>
      </c>
      <c r="AN35" s="25">
        <v>12</v>
      </c>
      <c r="AO35" s="25">
        <f>G35*0</f>
        <v>0</v>
      </c>
      <c r="AP35" s="25">
        <f>G35*(1-0)</f>
        <v>0</v>
      </c>
      <c r="AQ35" s="27" t="s">
        <v>70</v>
      </c>
      <c r="AV35" s="25">
        <f t="shared" si="14"/>
        <v>0</v>
      </c>
      <c r="AW35" s="25">
        <f t="shared" si="15"/>
        <v>0</v>
      </c>
      <c r="AX35" s="25">
        <f t="shared" si="16"/>
        <v>0</v>
      </c>
      <c r="AY35" s="27" t="s">
        <v>94</v>
      </c>
      <c r="AZ35" s="27" t="s">
        <v>95</v>
      </c>
      <c r="BA35" s="11" t="s">
        <v>56</v>
      </c>
      <c r="BC35" s="25">
        <f t="shared" si="17"/>
        <v>0</v>
      </c>
      <c r="BD35" s="25">
        <f t="shared" si="18"/>
        <v>0</v>
      </c>
      <c r="BE35" s="25">
        <v>0</v>
      </c>
      <c r="BF35" s="25">
        <f>35</f>
        <v>35</v>
      </c>
      <c r="BH35" s="25">
        <f t="shared" si="19"/>
        <v>0</v>
      </c>
      <c r="BI35" s="25">
        <f t="shared" si="20"/>
        <v>0</v>
      </c>
      <c r="BJ35" s="25">
        <f t="shared" si="21"/>
        <v>0</v>
      </c>
      <c r="BK35" s="25"/>
      <c r="BL35" s="25">
        <v>712</v>
      </c>
      <c r="BW35" s="25">
        <v>12</v>
      </c>
      <c r="BX35" s="5" t="s">
        <v>125</v>
      </c>
    </row>
    <row r="36" spans="1:76" x14ac:dyDescent="0.25">
      <c r="A36" s="28" t="s">
        <v>46</v>
      </c>
      <c r="B36" s="29" t="s">
        <v>127</v>
      </c>
      <c r="C36" s="138" t="s">
        <v>128</v>
      </c>
      <c r="D36" s="139"/>
      <c r="E36" s="30" t="s">
        <v>4</v>
      </c>
      <c r="F36" s="30" t="s">
        <v>4</v>
      </c>
      <c r="G36" s="30" t="s">
        <v>4</v>
      </c>
      <c r="H36" s="1">
        <f>SUM(H37:H39)</f>
        <v>0</v>
      </c>
      <c r="I36" s="1">
        <f>SUM(I37:I39)</f>
        <v>0</v>
      </c>
      <c r="J36" s="1">
        <f>SUM(J37:J39)</f>
        <v>0</v>
      </c>
      <c r="K36" s="31" t="s">
        <v>46</v>
      </c>
      <c r="AI36" s="11" t="s">
        <v>46</v>
      </c>
      <c r="AS36" s="1">
        <f>SUM(AJ37:AJ39)</f>
        <v>0</v>
      </c>
      <c r="AT36" s="1">
        <f>SUM(AK37:AK39)</f>
        <v>0</v>
      </c>
      <c r="AU36" s="1">
        <f>SUM(AL37:AL39)</f>
        <v>0</v>
      </c>
    </row>
    <row r="37" spans="1:76" x14ac:dyDescent="0.25">
      <c r="A37" s="2" t="s">
        <v>129</v>
      </c>
      <c r="B37" s="3" t="s">
        <v>130</v>
      </c>
      <c r="C37" s="79" t="s">
        <v>131</v>
      </c>
      <c r="D37" s="76"/>
      <c r="E37" s="3" t="s">
        <v>52</v>
      </c>
      <c r="F37" s="25">
        <v>491.92</v>
      </c>
      <c r="G37" s="69">
        <v>0</v>
      </c>
      <c r="H37" s="25">
        <f>F37*AO37</f>
        <v>0</v>
      </c>
      <c r="I37" s="25">
        <f>F37*AP37</f>
        <v>0</v>
      </c>
      <c r="J37" s="25">
        <f>F37*G37</f>
        <v>0</v>
      </c>
      <c r="K37" s="26" t="s">
        <v>53</v>
      </c>
      <c r="Z37" s="25">
        <f>IF(AQ37="5",BJ37,0)</f>
        <v>0</v>
      </c>
      <c r="AB37" s="25">
        <f>IF(AQ37="1",BH37,0)</f>
        <v>0</v>
      </c>
      <c r="AC37" s="25">
        <f>IF(AQ37="1",BI37,0)</f>
        <v>0</v>
      </c>
      <c r="AD37" s="25">
        <f>IF(AQ37="7",BH37,0)</f>
        <v>0</v>
      </c>
      <c r="AE37" s="25">
        <f>IF(AQ37="7",BI37,0)</f>
        <v>0</v>
      </c>
      <c r="AF37" s="25">
        <f>IF(AQ37="2",BH37,0)</f>
        <v>0</v>
      </c>
      <c r="AG37" s="25">
        <f>IF(AQ37="2",BI37,0)</f>
        <v>0</v>
      </c>
      <c r="AH37" s="25">
        <f>IF(AQ37="0",BJ37,0)</f>
        <v>0</v>
      </c>
      <c r="AI37" s="11" t="s">
        <v>46</v>
      </c>
      <c r="AJ37" s="25">
        <f>IF(AN37=0,J37,0)</f>
        <v>0</v>
      </c>
      <c r="AK37" s="25">
        <f>IF(AN37=12,J37,0)</f>
        <v>0</v>
      </c>
      <c r="AL37" s="25">
        <f>IF(AN37=21,J37,0)</f>
        <v>0</v>
      </c>
      <c r="AN37" s="25">
        <v>12</v>
      </c>
      <c r="AO37" s="25">
        <f>G37*0.192996482</f>
        <v>0</v>
      </c>
      <c r="AP37" s="25">
        <f>G37*(1-0.192996482)</f>
        <v>0</v>
      </c>
      <c r="AQ37" s="27" t="s">
        <v>78</v>
      </c>
      <c r="AV37" s="25">
        <f>AW37+AX37</f>
        <v>0</v>
      </c>
      <c r="AW37" s="25">
        <f>F37*AO37</f>
        <v>0</v>
      </c>
      <c r="AX37" s="25">
        <f>F37*AP37</f>
        <v>0</v>
      </c>
      <c r="AY37" s="27" t="s">
        <v>132</v>
      </c>
      <c r="AZ37" s="27" t="s">
        <v>95</v>
      </c>
      <c r="BA37" s="11" t="s">
        <v>56</v>
      </c>
      <c r="BC37" s="25">
        <f>AW37+AX37</f>
        <v>0</v>
      </c>
      <c r="BD37" s="25">
        <f>G37/(100-BE37)*100</f>
        <v>0</v>
      </c>
      <c r="BE37" s="25">
        <v>0</v>
      </c>
      <c r="BF37" s="25">
        <f>37</f>
        <v>37</v>
      </c>
      <c r="BH37" s="25">
        <f>F37*AO37</f>
        <v>0</v>
      </c>
      <c r="BI37" s="25">
        <f>F37*AP37</f>
        <v>0</v>
      </c>
      <c r="BJ37" s="25">
        <f>F37*G37</f>
        <v>0</v>
      </c>
      <c r="BK37" s="25"/>
      <c r="BL37" s="25">
        <v>713</v>
      </c>
      <c r="BW37" s="25">
        <v>12</v>
      </c>
      <c r="BX37" s="5" t="s">
        <v>131</v>
      </c>
    </row>
    <row r="38" spans="1:76" x14ac:dyDescent="0.25">
      <c r="A38" s="2" t="s">
        <v>133</v>
      </c>
      <c r="B38" s="3" t="s">
        <v>134</v>
      </c>
      <c r="C38" s="79" t="s">
        <v>135</v>
      </c>
      <c r="D38" s="76"/>
      <c r="E38" s="3" t="s">
        <v>52</v>
      </c>
      <c r="F38" s="25">
        <v>1082.4000000000001</v>
      </c>
      <c r="G38" s="69">
        <v>0</v>
      </c>
      <c r="H38" s="25">
        <f>F38*AO38</f>
        <v>0</v>
      </c>
      <c r="I38" s="25">
        <f>F38*AP38</f>
        <v>0</v>
      </c>
      <c r="J38" s="25">
        <f>F38*G38</f>
        <v>0</v>
      </c>
      <c r="K38" s="26" t="s">
        <v>53</v>
      </c>
      <c r="Z38" s="25">
        <f>IF(AQ38="5",BJ38,0)</f>
        <v>0</v>
      </c>
      <c r="AB38" s="25">
        <f>IF(AQ38="1",BH38,0)</f>
        <v>0</v>
      </c>
      <c r="AC38" s="25">
        <f>IF(AQ38="1",BI38,0)</f>
        <v>0</v>
      </c>
      <c r="AD38" s="25">
        <f>IF(AQ38="7",BH38,0)</f>
        <v>0</v>
      </c>
      <c r="AE38" s="25">
        <f>IF(AQ38="7",BI38,0)</f>
        <v>0</v>
      </c>
      <c r="AF38" s="25">
        <f>IF(AQ38="2",BH38,0)</f>
        <v>0</v>
      </c>
      <c r="AG38" s="25">
        <f>IF(AQ38="2",BI38,0)</f>
        <v>0</v>
      </c>
      <c r="AH38" s="25">
        <f>IF(AQ38="0",BJ38,0)</f>
        <v>0</v>
      </c>
      <c r="AI38" s="11" t="s">
        <v>46</v>
      </c>
      <c r="AJ38" s="25">
        <f>IF(AN38=0,J38,0)</f>
        <v>0</v>
      </c>
      <c r="AK38" s="25">
        <f>IF(AN38=12,J38,0)</f>
        <v>0</v>
      </c>
      <c r="AL38" s="25">
        <f>IF(AN38=21,J38,0)</f>
        <v>0</v>
      </c>
      <c r="AN38" s="25">
        <v>12</v>
      </c>
      <c r="AO38" s="25">
        <f>G38*1</f>
        <v>0</v>
      </c>
      <c r="AP38" s="25">
        <f>G38*(1-1)</f>
        <v>0</v>
      </c>
      <c r="AQ38" s="27" t="s">
        <v>78</v>
      </c>
      <c r="AV38" s="25">
        <f>AW38+AX38</f>
        <v>0</v>
      </c>
      <c r="AW38" s="25">
        <f>F38*AO38</f>
        <v>0</v>
      </c>
      <c r="AX38" s="25">
        <f>F38*AP38</f>
        <v>0</v>
      </c>
      <c r="AY38" s="27" t="s">
        <v>132</v>
      </c>
      <c r="AZ38" s="27" t="s">
        <v>95</v>
      </c>
      <c r="BA38" s="11" t="s">
        <v>56</v>
      </c>
      <c r="BC38" s="25">
        <f>AW38+AX38</f>
        <v>0</v>
      </c>
      <c r="BD38" s="25">
        <f>G38/(100-BE38)*100</f>
        <v>0</v>
      </c>
      <c r="BE38" s="25">
        <v>0</v>
      </c>
      <c r="BF38" s="25">
        <f>38</f>
        <v>38</v>
      </c>
      <c r="BH38" s="25">
        <f>F38*AO38</f>
        <v>0</v>
      </c>
      <c r="BI38" s="25">
        <f>F38*AP38</f>
        <v>0</v>
      </c>
      <c r="BJ38" s="25">
        <f>F38*G38</f>
        <v>0</v>
      </c>
      <c r="BK38" s="25"/>
      <c r="BL38" s="25">
        <v>713</v>
      </c>
      <c r="BW38" s="25">
        <v>12</v>
      </c>
      <c r="BX38" s="5" t="s">
        <v>135</v>
      </c>
    </row>
    <row r="39" spans="1:76" x14ac:dyDescent="0.25">
      <c r="A39" s="2" t="s">
        <v>136</v>
      </c>
      <c r="B39" s="3" t="s">
        <v>137</v>
      </c>
      <c r="C39" s="79" t="s">
        <v>138</v>
      </c>
      <c r="D39" s="76"/>
      <c r="E39" s="3" t="s">
        <v>126</v>
      </c>
      <c r="F39" s="69"/>
      <c r="G39" s="69">
        <v>0</v>
      </c>
      <c r="H39" s="25">
        <f>F39*AO39</f>
        <v>0</v>
      </c>
      <c r="I39" s="25">
        <f>F39*AP39</f>
        <v>0</v>
      </c>
      <c r="J39" s="25">
        <f>F39*G39</f>
        <v>0</v>
      </c>
      <c r="K39" s="26" t="s">
        <v>53</v>
      </c>
      <c r="Z39" s="25">
        <f>IF(AQ39="5",BJ39,0)</f>
        <v>0</v>
      </c>
      <c r="AB39" s="25">
        <f>IF(AQ39="1",BH39,0)</f>
        <v>0</v>
      </c>
      <c r="AC39" s="25">
        <f>IF(AQ39="1",BI39,0)</f>
        <v>0</v>
      </c>
      <c r="AD39" s="25">
        <f>IF(AQ39="7",BH39,0)</f>
        <v>0</v>
      </c>
      <c r="AE39" s="25">
        <f>IF(AQ39="7",BI39,0)</f>
        <v>0</v>
      </c>
      <c r="AF39" s="25">
        <f>IF(AQ39="2",BH39,0)</f>
        <v>0</v>
      </c>
      <c r="AG39" s="25">
        <f>IF(AQ39="2",BI39,0)</f>
        <v>0</v>
      </c>
      <c r="AH39" s="25">
        <f>IF(AQ39="0",BJ39,0)</f>
        <v>0</v>
      </c>
      <c r="AI39" s="11" t="s">
        <v>46</v>
      </c>
      <c r="AJ39" s="25">
        <f>IF(AN39=0,J39,0)</f>
        <v>0</v>
      </c>
      <c r="AK39" s="25">
        <f>IF(AN39=12,J39,0)</f>
        <v>0</v>
      </c>
      <c r="AL39" s="25">
        <f>IF(AN39=21,J39,0)</f>
        <v>0</v>
      </c>
      <c r="AN39" s="25">
        <v>12</v>
      </c>
      <c r="AO39" s="25">
        <f>G39*0</f>
        <v>0</v>
      </c>
      <c r="AP39" s="25">
        <f>G39*(1-0)</f>
        <v>0</v>
      </c>
      <c r="AQ39" s="27" t="s">
        <v>70</v>
      </c>
      <c r="AV39" s="25">
        <f>AW39+AX39</f>
        <v>0</v>
      </c>
      <c r="AW39" s="25">
        <f>F39*AO39</f>
        <v>0</v>
      </c>
      <c r="AX39" s="25">
        <f>F39*AP39</f>
        <v>0</v>
      </c>
      <c r="AY39" s="27" t="s">
        <v>132</v>
      </c>
      <c r="AZ39" s="27" t="s">
        <v>95</v>
      </c>
      <c r="BA39" s="11" t="s">
        <v>56</v>
      </c>
      <c r="BC39" s="25">
        <f>AW39+AX39</f>
        <v>0</v>
      </c>
      <c r="BD39" s="25">
        <f>G39/(100-BE39)*100</f>
        <v>0</v>
      </c>
      <c r="BE39" s="25">
        <v>0</v>
      </c>
      <c r="BF39" s="25">
        <f>39</f>
        <v>39</v>
      </c>
      <c r="BH39" s="25">
        <f>F39*AO39</f>
        <v>0</v>
      </c>
      <c r="BI39" s="25">
        <f>F39*AP39</f>
        <v>0</v>
      </c>
      <c r="BJ39" s="25">
        <f>F39*G39</f>
        <v>0</v>
      </c>
      <c r="BK39" s="25"/>
      <c r="BL39" s="25">
        <v>713</v>
      </c>
      <c r="BW39" s="25">
        <v>12</v>
      </c>
      <c r="BX39" s="5" t="s">
        <v>138</v>
      </c>
    </row>
    <row r="40" spans="1:76" x14ac:dyDescent="0.25">
      <c r="A40" s="28" t="s">
        <v>46</v>
      </c>
      <c r="B40" s="29" t="s">
        <v>139</v>
      </c>
      <c r="C40" s="138" t="s">
        <v>140</v>
      </c>
      <c r="D40" s="139"/>
      <c r="E40" s="30" t="s">
        <v>4</v>
      </c>
      <c r="F40" s="30" t="s">
        <v>4</v>
      </c>
      <c r="G40" s="30" t="s">
        <v>4</v>
      </c>
      <c r="H40" s="1">
        <f>SUM(H41:H44)</f>
        <v>0</v>
      </c>
      <c r="I40" s="1">
        <f>SUM(I41:I44)</f>
        <v>0</v>
      </c>
      <c r="J40" s="1">
        <f>SUM(J41:J44)</f>
        <v>0</v>
      </c>
      <c r="K40" s="31" t="s">
        <v>46</v>
      </c>
      <c r="AI40" s="11" t="s">
        <v>46</v>
      </c>
      <c r="AS40" s="1">
        <f>SUM(AJ41:AJ44)</f>
        <v>0</v>
      </c>
      <c r="AT40" s="1">
        <f>SUM(AK41:AK44)</f>
        <v>0</v>
      </c>
      <c r="AU40" s="1">
        <f>SUM(AL41:AL44)</f>
        <v>0</v>
      </c>
    </row>
    <row r="41" spans="1:76" x14ac:dyDescent="0.25">
      <c r="A41" s="2" t="s">
        <v>141</v>
      </c>
      <c r="B41" s="3" t="s">
        <v>142</v>
      </c>
      <c r="C41" s="79" t="s">
        <v>143</v>
      </c>
      <c r="D41" s="76"/>
      <c r="E41" s="3" t="s">
        <v>81</v>
      </c>
      <c r="F41" s="25">
        <v>10</v>
      </c>
      <c r="G41" s="69">
        <v>0</v>
      </c>
      <c r="H41" s="25">
        <f>F41*AO41</f>
        <v>0</v>
      </c>
      <c r="I41" s="25">
        <f>F41*AP41</f>
        <v>0</v>
      </c>
      <c r="J41" s="25">
        <f>F41*G41</f>
        <v>0</v>
      </c>
      <c r="K41" s="26" t="s">
        <v>53</v>
      </c>
      <c r="Z41" s="25">
        <f>IF(AQ41="5",BJ41,0)</f>
        <v>0</v>
      </c>
      <c r="AB41" s="25">
        <f>IF(AQ41="1",BH41,0)</f>
        <v>0</v>
      </c>
      <c r="AC41" s="25">
        <f>IF(AQ41="1",BI41,0)</f>
        <v>0</v>
      </c>
      <c r="AD41" s="25">
        <f>IF(AQ41="7",BH41,0)</f>
        <v>0</v>
      </c>
      <c r="AE41" s="25">
        <f>IF(AQ41="7",BI41,0)</f>
        <v>0</v>
      </c>
      <c r="AF41" s="25">
        <f>IF(AQ41="2",BH41,0)</f>
        <v>0</v>
      </c>
      <c r="AG41" s="25">
        <f>IF(AQ41="2",BI41,0)</f>
        <v>0</v>
      </c>
      <c r="AH41" s="25">
        <f>IF(AQ41="0",BJ41,0)</f>
        <v>0</v>
      </c>
      <c r="AI41" s="11" t="s">
        <v>46</v>
      </c>
      <c r="AJ41" s="25">
        <f>IF(AN41=0,J41,0)</f>
        <v>0</v>
      </c>
      <c r="AK41" s="25">
        <f>IF(AN41=12,J41,0)</f>
        <v>0</v>
      </c>
      <c r="AL41" s="25">
        <f>IF(AN41=21,J41,0)</f>
        <v>0</v>
      </c>
      <c r="AN41" s="25">
        <v>12</v>
      </c>
      <c r="AO41" s="25">
        <f>G41*0</f>
        <v>0</v>
      </c>
      <c r="AP41" s="25">
        <f>G41*(1-0)</f>
        <v>0</v>
      </c>
      <c r="AQ41" s="27" t="s">
        <v>78</v>
      </c>
      <c r="AV41" s="25">
        <f>AW41+AX41</f>
        <v>0</v>
      </c>
      <c r="AW41" s="25">
        <f>F41*AO41</f>
        <v>0</v>
      </c>
      <c r="AX41" s="25">
        <f>F41*AP41</f>
        <v>0</v>
      </c>
      <c r="AY41" s="27" t="s">
        <v>144</v>
      </c>
      <c r="AZ41" s="27" t="s">
        <v>145</v>
      </c>
      <c r="BA41" s="11" t="s">
        <v>56</v>
      </c>
      <c r="BC41" s="25">
        <f>AW41+AX41</f>
        <v>0</v>
      </c>
      <c r="BD41" s="25">
        <f>G41/(100-BE41)*100</f>
        <v>0</v>
      </c>
      <c r="BE41" s="25">
        <v>0</v>
      </c>
      <c r="BF41" s="25">
        <f>41</f>
        <v>41</v>
      </c>
      <c r="BH41" s="25">
        <f>F41*AO41</f>
        <v>0</v>
      </c>
      <c r="BI41" s="25">
        <f>F41*AP41</f>
        <v>0</v>
      </c>
      <c r="BJ41" s="25">
        <f>F41*G41</f>
        <v>0</v>
      </c>
      <c r="BK41" s="25"/>
      <c r="BL41" s="25">
        <v>728</v>
      </c>
      <c r="BW41" s="25">
        <v>12</v>
      </c>
      <c r="BX41" s="5" t="s">
        <v>143</v>
      </c>
    </row>
    <row r="42" spans="1:76" x14ac:dyDescent="0.25">
      <c r="A42" s="2" t="s">
        <v>146</v>
      </c>
      <c r="B42" s="3" t="s">
        <v>147</v>
      </c>
      <c r="C42" s="79" t="s">
        <v>148</v>
      </c>
      <c r="D42" s="76"/>
      <c r="E42" s="3" t="s">
        <v>81</v>
      </c>
      <c r="F42" s="25">
        <v>10</v>
      </c>
      <c r="G42" s="69">
        <v>0</v>
      </c>
      <c r="H42" s="25">
        <f>F42*AO42</f>
        <v>0</v>
      </c>
      <c r="I42" s="25">
        <f>F42*AP42</f>
        <v>0</v>
      </c>
      <c r="J42" s="25">
        <f>F42*G42</f>
        <v>0</v>
      </c>
      <c r="K42" s="26" t="s">
        <v>53</v>
      </c>
      <c r="Z42" s="25">
        <f>IF(AQ42="5",BJ42,0)</f>
        <v>0</v>
      </c>
      <c r="AB42" s="25">
        <f>IF(AQ42="1",BH42,0)</f>
        <v>0</v>
      </c>
      <c r="AC42" s="25">
        <f>IF(AQ42="1",BI42,0)</f>
        <v>0</v>
      </c>
      <c r="AD42" s="25">
        <f>IF(AQ42="7",BH42,0)</f>
        <v>0</v>
      </c>
      <c r="AE42" s="25">
        <f>IF(AQ42="7",BI42,0)</f>
        <v>0</v>
      </c>
      <c r="AF42" s="25">
        <f>IF(AQ42="2",BH42,0)</f>
        <v>0</v>
      </c>
      <c r="AG42" s="25">
        <f>IF(AQ42="2",BI42,0)</f>
        <v>0</v>
      </c>
      <c r="AH42" s="25">
        <f>IF(AQ42="0",BJ42,0)</f>
        <v>0</v>
      </c>
      <c r="AI42" s="11" t="s">
        <v>46</v>
      </c>
      <c r="AJ42" s="25">
        <f>IF(AN42=0,J42,0)</f>
        <v>0</v>
      </c>
      <c r="AK42" s="25">
        <f>IF(AN42=12,J42,0)</f>
        <v>0</v>
      </c>
      <c r="AL42" s="25">
        <f>IF(AN42=21,J42,0)</f>
        <v>0</v>
      </c>
      <c r="AN42" s="25">
        <v>12</v>
      </c>
      <c r="AO42" s="25">
        <f>G42*0</f>
        <v>0</v>
      </c>
      <c r="AP42" s="25">
        <f>G42*(1-0)</f>
        <v>0</v>
      </c>
      <c r="AQ42" s="27" t="s">
        <v>78</v>
      </c>
      <c r="AV42" s="25">
        <f>AW42+AX42</f>
        <v>0</v>
      </c>
      <c r="AW42" s="25">
        <f>F42*AO42</f>
        <v>0</v>
      </c>
      <c r="AX42" s="25">
        <f>F42*AP42</f>
        <v>0</v>
      </c>
      <c r="AY42" s="27" t="s">
        <v>144</v>
      </c>
      <c r="AZ42" s="27" t="s">
        <v>145</v>
      </c>
      <c r="BA42" s="11" t="s">
        <v>56</v>
      </c>
      <c r="BC42" s="25">
        <f>AW42+AX42</f>
        <v>0</v>
      </c>
      <c r="BD42" s="25">
        <f>G42/(100-BE42)*100</f>
        <v>0</v>
      </c>
      <c r="BE42" s="25">
        <v>0</v>
      </c>
      <c r="BF42" s="25">
        <f>42</f>
        <v>42</v>
      </c>
      <c r="BH42" s="25">
        <f>F42*AO42</f>
        <v>0</v>
      </c>
      <c r="BI42" s="25">
        <f>F42*AP42</f>
        <v>0</v>
      </c>
      <c r="BJ42" s="25">
        <f>F42*G42</f>
        <v>0</v>
      </c>
      <c r="BK42" s="25"/>
      <c r="BL42" s="25">
        <v>728</v>
      </c>
      <c r="BW42" s="25">
        <v>12</v>
      </c>
      <c r="BX42" s="5" t="s">
        <v>148</v>
      </c>
    </row>
    <row r="43" spans="1:76" x14ac:dyDescent="0.25">
      <c r="A43" s="2" t="s">
        <v>149</v>
      </c>
      <c r="B43" s="3" t="s">
        <v>150</v>
      </c>
      <c r="C43" s="79" t="s">
        <v>151</v>
      </c>
      <c r="D43" s="76"/>
      <c r="E43" s="3" t="s">
        <v>81</v>
      </c>
      <c r="F43" s="25">
        <v>10</v>
      </c>
      <c r="G43" s="69">
        <v>0</v>
      </c>
      <c r="H43" s="25">
        <f>F43*AO43</f>
        <v>0</v>
      </c>
      <c r="I43" s="25">
        <f>F43*AP43</f>
        <v>0</v>
      </c>
      <c r="J43" s="25">
        <f>F43*G43</f>
        <v>0</v>
      </c>
      <c r="K43" s="26" t="s">
        <v>53</v>
      </c>
      <c r="Z43" s="25">
        <f>IF(AQ43="5",BJ43,0)</f>
        <v>0</v>
      </c>
      <c r="AB43" s="25">
        <f>IF(AQ43="1",BH43,0)</f>
        <v>0</v>
      </c>
      <c r="AC43" s="25">
        <f>IF(AQ43="1",BI43,0)</f>
        <v>0</v>
      </c>
      <c r="AD43" s="25">
        <f>IF(AQ43="7",BH43,0)</f>
        <v>0</v>
      </c>
      <c r="AE43" s="25">
        <f>IF(AQ43="7",BI43,0)</f>
        <v>0</v>
      </c>
      <c r="AF43" s="25">
        <f>IF(AQ43="2",BH43,0)</f>
        <v>0</v>
      </c>
      <c r="AG43" s="25">
        <f>IF(AQ43="2",BI43,0)</f>
        <v>0</v>
      </c>
      <c r="AH43" s="25">
        <f>IF(AQ43="0",BJ43,0)</f>
        <v>0</v>
      </c>
      <c r="AI43" s="11" t="s">
        <v>46</v>
      </c>
      <c r="AJ43" s="25">
        <f>IF(AN43=0,J43,0)</f>
        <v>0</v>
      </c>
      <c r="AK43" s="25">
        <f>IF(AN43=12,J43,0)</f>
        <v>0</v>
      </c>
      <c r="AL43" s="25">
        <f>IF(AN43=21,J43,0)</f>
        <v>0</v>
      </c>
      <c r="AN43" s="25">
        <v>12</v>
      </c>
      <c r="AO43" s="25">
        <f>G43*0.811241014</f>
        <v>0</v>
      </c>
      <c r="AP43" s="25">
        <f>G43*(1-0.811241014)</f>
        <v>0</v>
      </c>
      <c r="AQ43" s="27" t="s">
        <v>78</v>
      </c>
      <c r="AV43" s="25">
        <f>AW43+AX43</f>
        <v>0</v>
      </c>
      <c r="AW43" s="25">
        <f>F43*AO43</f>
        <v>0</v>
      </c>
      <c r="AX43" s="25">
        <f>F43*AP43</f>
        <v>0</v>
      </c>
      <c r="AY43" s="27" t="s">
        <v>144</v>
      </c>
      <c r="AZ43" s="27" t="s">
        <v>145</v>
      </c>
      <c r="BA43" s="11" t="s">
        <v>56</v>
      </c>
      <c r="BC43" s="25">
        <f>AW43+AX43</f>
        <v>0</v>
      </c>
      <c r="BD43" s="25">
        <f>G43/(100-BE43)*100</f>
        <v>0</v>
      </c>
      <c r="BE43" s="25">
        <v>0</v>
      </c>
      <c r="BF43" s="25">
        <f>43</f>
        <v>43</v>
      </c>
      <c r="BH43" s="25">
        <f>F43*AO43</f>
        <v>0</v>
      </c>
      <c r="BI43" s="25">
        <f>F43*AP43</f>
        <v>0</v>
      </c>
      <c r="BJ43" s="25">
        <f>F43*G43</f>
        <v>0</v>
      </c>
      <c r="BK43" s="25"/>
      <c r="BL43" s="25">
        <v>728</v>
      </c>
      <c r="BW43" s="25">
        <v>12</v>
      </c>
      <c r="BX43" s="5" t="s">
        <v>151</v>
      </c>
    </row>
    <row r="44" spans="1:76" x14ac:dyDescent="0.25">
      <c r="A44" s="2" t="s">
        <v>152</v>
      </c>
      <c r="B44" s="3" t="s">
        <v>153</v>
      </c>
      <c r="C44" s="79" t="s">
        <v>154</v>
      </c>
      <c r="D44" s="76"/>
      <c r="E44" s="3" t="s">
        <v>126</v>
      </c>
      <c r="F44" s="69"/>
      <c r="G44" s="69">
        <v>0</v>
      </c>
      <c r="H44" s="25">
        <f>F44*AO44</f>
        <v>0</v>
      </c>
      <c r="I44" s="25">
        <f>F44*AP44</f>
        <v>0</v>
      </c>
      <c r="J44" s="25">
        <f>F44*G44</f>
        <v>0</v>
      </c>
      <c r="K44" s="26" t="s">
        <v>53</v>
      </c>
      <c r="Z44" s="25">
        <f>IF(AQ44="5",BJ44,0)</f>
        <v>0</v>
      </c>
      <c r="AB44" s="25">
        <f>IF(AQ44="1",BH44,0)</f>
        <v>0</v>
      </c>
      <c r="AC44" s="25">
        <f>IF(AQ44="1",BI44,0)</f>
        <v>0</v>
      </c>
      <c r="AD44" s="25">
        <f>IF(AQ44="7",BH44,0)</f>
        <v>0</v>
      </c>
      <c r="AE44" s="25">
        <f>IF(AQ44="7",BI44,0)</f>
        <v>0</v>
      </c>
      <c r="AF44" s="25">
        <f>IF(AQ44="2",BH44,0)</f>
        <v>0</v>
      </c>
      <c r="AG44" s="25">
        <f>IF(AQ44="2",BI44,0)</f>
        <v>0</v>
      </c>
      <c r="AH44" s="25">
        <f>IF(AQ44="0",BJ44,0)</f>
        <v>0</v>
      </c>
      <c r="AI44" s="11" t="s">
        <v>46</v>
      </c>
      <c r="AJ44" s="25">
        <f>IF(AN44=0,J44,0)</f>
        <v>0</v>
      </c>
      <c r="AK44" s="25">
        <f>IF(AN44=12,J44,0)</f>
        <v>0</v>
      </c>
      <c r="AL44" s="25">
        <f>IF(AN44=21,J44,0)</f>
        <v>0</v>
      </c>
      <c r="AN44" s="25">
        <v>12</v>
      </c>
      <c r="AO44" s="25">
        <f>G44*0</f>
        <v>0</v>
      </c>
      <c r="AP44" s="25">
        <f>G44*(1-0)</f>
        <v>0</v>
      </c>
      <c r="AQ44" s="27" t="s">
        <v>70</v>
      </c>
      <c r="AV44" s="25">
        <f>AW44+AX44</f>
        <v>0</v>
      </c>
      <c r="AW44" s="25">
        <f>F44*AO44</f>
        <v>0</v>
      </c>
      <c r="AX44" s="25">
        <f>F44*AP44</f>
        <v>0</v>
      </c>
      <c r="AY44" s="27" t="s">
        <v>144</v>
      </c>
      <c r="AZ44" s="27" t="s">
        <v>145</v>
      </c>
      <c r="BA44" s="11" t="s">
        <v>56</v>
      </c>
      <c r="BC44" s="25">
        <f>AW44+AX44</f>
        <v>0</v>
      </c>
      <c r="BD44" s="25">
        <f>G44/(100-BE44)*100</f>
        <v>0</v>
      </c>
      <c r="BE44" s="25">
        <v>0</v>
      </c>
      <c r="BF44" s="25">
        <f>44</f>
        <v>44</v>
      </c>
      <c r="BH44" s="25">
        <f>F44*AO44</f>
        <v>0</v>
      </c>
      <c r="BI44" s="25">
        <f>F44*AP44</f>
        <v>0</v>
      </c>
      <c r="BJ44" s="25">
        <f>F44*G44</f>
        <v>0</v>
      </c>
      <c r="BK44" s="25"/>
      <c r="BL44" s="25">
        <v>728</v>
      </c>
      <c r="BW44" s="25">
        <v>12</v>
      </c>
      <c r="BX44" s="5" t="s">
        <v>154</v>
      </c>
    </row>
    <row r="45" spans="1:76" x14ac:dyDescent="0.25">
      <c r="A45" s="28" t="s">
        <v>46</v>
      </c>
      <c r="B45" s="29" t="s">
        <v>155</v>
      </c>
      <c r="C45" s="138" t="s">
        <v>156</v>
      </c>
      <c r="D45" s="139"/>
      <c r="E45" s="30" t="s">
        <v>4</v>
      </c>
      <c r="F45" s="30" t="s">
        <v>4</v>
      </c>
      <c r="G45" s="30" t="s">
        <v>4</v>
      </c>
      <c r="H45" s="1">
        <f>SUM(H46:H52)</f>
        <v>0</v>
      </c>
      <c r="I45" s="1">
        <f>SUM(I46:I52)</f>
        <v>0</v>
      </c>
      <c r="J45" s="1">
        <f>SUM(J46:J52)</f>
        <v>0</v>
      </c>
      <c r="K45" s="31" t="s">
        <v>46</v>
      </c>
      <c r="AI45" s="11" t="s">
        <v>46</v>
      </c>
      <c r="AS45" s="1">
        <f>SUM(AJ46:AJ52)</f>
        <v>0</v>
      </c>
      <c r="AT45" s="1">
        <f>SUM(AK46:AK52)</f>
        <v>0</v>
      </c>
      <c r="AU45" s="1">
        <f>SUM(AL46:AL52)</f>
        <v>0</v>
      </c>
    </row>
    <row r="46" spans="1:76" x14ac:dyDescent="0.25">
      <c r="A46" s="2" t="s">
        <v>157</v>
      </c>
      <c r="B46" s="3" t="s">
        <v>158</v>
      </c>
      <c r="C46" s="79" t="s">
        <v>159</v>
      </c>
      <c r="D46" s="76"/>
      <c r="E46" s="3" t="s">
        <v>110</v>
      </c>
      <c r="F46" s="25">
        <v>150.9</v>
      </c>
      <c r="G46" s="69">
        <v>0</v>
      </c>
      <c r="H46" s="25">
        <f t="shared" ref="H46:H52" si="22">F46*AO46</f>
        <v>0</v>
      </c>
      <c r="I46" s="25">
        <f t="shared" ref="I46:I52" si="23">F46*AP46</f>
        <v>0</v>
      </c>
      <c r="J46" s="25">
        <f t="shared" ref="J46:J52" si="24">F46*G46</f>
        <v>0</v>
      </c>
      <c r="K46" s="26" t="s">
        <v>53</v>
      </c>
      <c r="Z46" s="25">
        <f t="shared" ref="Z46:Z52" si="25">IF(AQ46="5",BJ46,0)</f>
        <v>0</v>
      </c>
      <c r="AB46" s="25">
        <f t="shared" ref="AB46:AB52" si="26">IF(AQ46="1",BH46,0)</f>
        <v>0</v>
      </c>
      <c r="AC46" s="25">
        <f t="shared" ref="AC46:AC52" si="27">IF(AQ46="1",BI46,0)</f>
        <v>0</v>
      </c>
      <c r="AD46" s="25">
        <f t="shared" ref="AD46:AD52" si="28">IF(AQ46="7",BH46,0)</f>
        <v>0</v>
      </c>
      <c r="AE46" s="25">
        <f t="shared" ref="AE46:AE52" si="29">IF(AQ46="7",BI46,0)</f>
        <v>0</v>
      </c>
      <c r="AF46" s="25">
        <f t="shared" ref="AF46:AF52" si="30">IF(AQ46="2",BH46,0)</f>
        <v>0</v>
      </c>
      <c r="AG46" s="25">
        <f t="shared" ref="AG46:AG52" si="31">IF(AQ46="2",BI46,0)</f>
        <v>0</v>
      </c>
      <c r="AH46" s="25">
        <f t="shared" ref="AH46:AH52" si="32">IF(AQ46="0",BJ46,0)</f>
        <v>0</v>
      </c>
      <c r="AI46" s="11" t="s">
        <v>46</v>
      </c>
      <c r="AJ46" s="25">
        <f t="shared" ref="AJ46:AJ52" si="33">IF(AN46=0,J46,0)</f>
        <v>0</v>
      </c>
      <c r="AK46" s="25">
        <f t="shared" ref="AK46:AK52" si="34">IF(AN46=12,J46,0)</f>
        <v>0</v>
      </c>
      <c r="AL46" s="25">
        <f t="shared" ref="AL46:AL52" si="35">IF(AN46=21,J46,0)</f>
        <v>0</v>
      </c>
      <c r="AN46" s="25">
        <v>12</v>
      </c>
      <c r="AO46" s="25">
        <f>G46*0</f>
        <v>0</v>
      </c>
      <c r="AP46" s="25">
        <f>G46*(1-0)</f>
        <v>0</v>
      </c>
      <c r="AQ46" s="27" t="s">
        <v>78</v>
      </c>
      <c r="AV46" s="25">
        <f t="shared" ref="AV46:AV52" si="36">AW46+AX46</f>
        <v>0</v>
      </c>
      <c r="AW46" s="25">
        <f t="shared" ref="AW46:AW52" si="37">F46*AO46</f>
        <v>0</v>
      </c>
      <c r="AX46" s="25">
        <f t="shared" ref="AX46:AX52" si="38">F46*AP46</f>
        <v>0</v>
      </c>
      <c r="AY46" s="27" t="s">
        <v>160</v>
      </c>
      <c r="AZ46" s="27" t="s">
        <v>161</v>
      </c>
      <c r="BA46" s="11" t="s">
        <v>56</v>
      </c>
      <c r="BC46" s="25">
        <f t="shared" ref="BC46:BC52" si="39">AW46+AX46</f>
        <v>0</v>
      </c>
      <c r="BD46" s="25">
        <f t="shared" ref="BD46:BD52" si="40">G46/(100-BE46)*100</f>
        <v>0</v>
      </c>
      <c r="BE46" s="25">
        <v>0</v>
      </c>
      <c r="BF46" s="25">
        <f>46</f>
        <v>46</v>
      </c>
      <c r="BH46" s="25">
        <f t="shared" ref="BH46:BH52" si="41">F46*AO46</f>
        <v>0</v>
      </c>
      <c r="BI46" s="25">
        <f t="shared" ref="BI46:BI52" si="42">F46*AP46</f>
        <v>0</v>
      </c>
      <c r="BJ46" s="25">
        <f t="shared" ref="BJ46:BJ52" si="43">F46*G46</f>
        <v>0</v>
      </c>
      <c r="BK46" s="25"/>
      <c r="BL46" s="25">
        <v>764</v>
      </c>
      <c r="BW46" s="25">
        <v>12</v>
      </c>
      <c r="BX46" s="5" t="s">
        <v>159</v>
      </c>
    </row>
    <row r="47" spans="1:76" x14ac:dyDescent="0.25">
      <c r="A47" s="2" t="s">
        <v>162</v>
      </c>
      <c r="B47" s="3" t="s">
        <v>163</v>
      </c>
      <c r="C47" s="79" t="s">
        <v>164</v>
      </c>
      <c r="D47" s="76"/>
      <c r="E47" s="3" t="s">
        <v>81</v>
      </c>
      <c r="F47" s="25">
        <v>21</v>
      </c>
      <c r="G47" s="69">
        <v>0</v>
      </c>
      <c r="H47" s="25">
        <f t="shared" si="22"/>
        <v>0</v>
      </c>
      <c r="I47" s="25">
        <f t="shared" si="23"/>
        <v>0</v>
      </c>
      <c r="J47" s="25">
        <f t="shared" si="24"/>
        <v>0</v>
      </c>
      <c r="K47" s="26" t="s">
        <v>53</v>
      </c>
      <c r="Z47" s="25">
        <f t="shared" si="25"/>
        <v>0</v>
      </c>
      <c r="AB47" s="25">
        <f t="shared" si="26"/>
        <v>0</v>
      </c>
      <c r="AC47" s="25">
        <f t="shared" si="27"/>
        <v>0</v>
      </c>
      <c r="AD47" s="25">
        <f t="shared" si="28"/>
        <v>0</v>
      </c>
      <c r="AE47" s="25">
        <f t="shared" si="29"/>
        <v>0</v>
      </c>
      <c r="AF47" s="25">
        <f t="shared" si="30"/>
        <v>0</v>
      </c>
      <c r="AG47" s="25">
        <f t="shared" si="31"/>
        <v>0</v>
      </c>
      <c r="AH47" s="25">
        <f t="shared" si="32"/>
        <v>0</v>
      </c>
      <c r="AI47" s="11" t="s">
        <v>46</v>
      </c>
      <c r="AJ47" s="25">
        <f t="shared" si="33"/>
        <v>0</v>
      </c>
      <c r="AK47" s="25">
        <f t="shared" si="34"/>
        <v>0</v>
      </c>
      <c r="AL47" s="25">
        <f t="shared" si="35"/>
        <v>0</v>
      </c>
      <c r="AN47" s="25">
        <v>12</v>
      </c>
      <c r="AO47" s="25">
        <f>G47*0</f>
        <v>0</v>
      </c>
      <c r="AP47" s="25">
        <f>G47*(1-0)</f>
        <v>0</v>
      </c>
      <c r="AQ47" s="27" t="s">
        <v>78</v>
      </c>
      <c r="AV47" s="25">
        <f t="shared" si="36"/>
        <v>0</v>
      </c>
      <c r="AW47" s="25">
        <f t="shared" si="37"/>
        <v>0</v>
      </c>
      <c r="AX47" s="25">
        <f t="shared" si="38"/>
        <v>0</v>
      </c>
      <c r="AY47" s="27" t="s">
        <v>160</v>
      </c>
      <c r="AZ47" s="27" t="s">
        <v>161</v>
      </c>
      <c r="BA47" s="11" t="s">
        <v>56</v>
      </c>
      <c r="BC47" s="25">
        <f t="shared" si="39"/>
        <v>0</v>
      </c>
      <c r="BD47" s="25">
        <f t="shared" si="40"/>
        <v>0</v>
      </c>
      <c r="BE47" s="25">
        <v>0</v>
      </c>
      <c r="BF47" s="25">
        <f>47</f>
        <v>47</v>
      </c>
      <c r="BH47" s="25">
        <f t="shared" si="41"/>
        <v>0</v>
      </c>
      <c r="BI47" s="25">
        <f t="shared" si="42"/>
        <v>0</v>
      </c>
      <c r="BJ47" s="25">
        <f t="shared" si="43"/>
        <v>0</v>
      </c>
      <c r="BK47" s="25"/>
      <c r="BL47" s="25">
        <v>764</v>
      </c>
      <c r="BW47" s="25">
        <v>12</v>
      </c>
      <c r="BX47" s="5" t="s">
        <v>164</v>
      </c>
    </row>
    <row r="48" spans="1:76" x14ac:dyDescent="0.25">
      <c r="A48" s="2" t="s">
        <v>165</v>
      </c>
      <c r="B48" s="3" t="s">
        <v>166</v>
      </c>
      <c r="C48" s="79" t="s">
        <v>167</v>
      </c>
      <c r="D48" s="76"/>
      <c r="E48" s="3" t="s">
        <v>81</v>
      </c>
      <c r="F48" s="25">
        <v>21</v>
      </c>
      <c r="G48" s="69">
        <v>0</v>
      </c>
      <c r="H48" s="25">
        <f t="shared" si="22"/>
        <v>0</v>
      </c>
      <c r="I48" s="25">
        <f t="shared" si="23"/>
        <v>0</v>
      </c>
      <c r="J48" s="25">
        <f t="shared" si="24"/>
        <v>0</v>
      </c>
      <c r="K48" s="26" t="s">
        <v>53</v>
      </c>
      <c r="Z48" s="25">
        <f t="shared" si="25"/>
        <v>0</v>
      </c>
      <c r="AB48" s="25">
        <f t="shared" si="26"/>
        <v>0</v>
      </c>
      <c r="AC48" s="25">
        <f t="shared" si="27"/>
        <v>0</v>
      </c>
      <c r="AD48" s="25">
        <f t="shared" si="28"/>
        <v>0</v>
      </c>
      <c r="AE48" s="25">
        <f t="shared" si="29"/>
        <v>0</v>
      </c>
      <c r="AF48" s="25">
        <f t="shared" si="30"/>
        <v>0</v>
      </c>
      <c r="AG48" s="25">
        <f t="shared" si="31"/>
        <v>0</v>
      </c>
      <c r="AH48" s="25">
        <f t="shared" si="32"/>
        <v>0</v>
      </c>
      <c r="AI48" s="11" t="s">
        <v>46</v>
      </c>
      <c r="AJ48" s="25">
        <f t="shared" si="33"/>
        <v>0</v>
      </c>
      <c r="AK48" s="25">
        <f t="shared" si="34"/>
        <v>0</v>
      </c>
      <c r="AL48" s="25">
        <f t="shared" si="35"/>
        <v>0</v>
      </c>
      <c r="AN48" s="25">
        <v>12</v>
      </c>
      <c r="AO48" s="25">
        <f>G48*0.6268681</f>
        <v>0</v>
      </c>
      <c r="AP48" s="25">
        <f>G48*(1-0.6268681)</f>
        <v>0</v>
      </c>
      <c r="AQ48" s="27" t="s">
        <v>78</v>
      </c>
      <c r="AV48" s="25">
        <f t="shared" si="36"/>
        <v>0</v>
      </c>
      <c r="AW48" s="25">
        <f t="shared" si="37"/>
        <v>0</v>
      </c>
      <c r="AX48" s="25">
        <f t="shared" si="38"/>
        <v>0</v>
      </c>
      <c r="AY48" s="27" t="s">
        <v>160</v>
      </c>
      <c r="AZ48" s="27" t="s">
        <v>161</v>
      </c>
      <c r="BA48" s="11" t="s">
        <v>56</v>
      </c>
      <c r="BC48" s="25">
        <f t="shared" si="39"/>
        <v>0</v>
      </c>
      <c r="BD48" s="25">
        <f t="shared" si="40"/>
        <v>0</v>
      </c>
      <c r="BE48" s="25">
        <v>0</v>
      </c>
      <c r="BF48" s="25">
        <f>48</f>
        <v>48</v>
      </c>
      <c r="BH48" s="25">
        <f t="shared" si="41"/>
        <v>0</v>
      </c>
      <c r="BI48" s="25">
        <f t="shared" si="42"/>
        <v>0</v>
      </c>
      <c r="BJ48" s="25">
        <f t="shared" si="43"/>
        <v>0</v>
      </c>
      <c r="BK48" s="25"/>
      <c r="BL48" s="25">
        <v>764</v>
      </c>
      <c r="BW48" s="25">
        <v>12</v>
      </c>
      <c r="BX48" s="5" t="s">
        <v>167</v>
      </c>
    </row>
    <row r="49" spans="1:76" x14ac:dyDescent="0.25">
      <c r="A49" s="2" t="s">
        <v>168</v>
      </c>
      <c r="B49" s="3" t="s">
        <v>169</v>
      </c>
      <c r="C49" s="79" t="s">
        <v>170</v>
      </c>
      <c r="D49" s="76"/>
      <c r="E49" s="3" t="s">
        <v>110</v>
      </c>
      <c r="F49" s="25">
        <v>2.8</v>
      </c>
      <c r="G49" s="69">
        <v>0</v>
      </c>
      <c r="H49" s="25">
        <f t="shared" si="22"/>
        <v>0</v>
      </c>
      <c r="I49" s="25">
        <f t="shared" si="23"/>
        <v>0</v>
      </c>
      <c r="J49" s="25">
        <f t="shared" si="24"/>
        <v>0</v>
      </c>
      <c r="K49" s="26" t="s">
        <v>53</v>
      </c>
      <c r="Z49" s="25">
        <f t="shared" si="25"/>
        <v>0</v>
      </c>
      <c r="AB49" s="25">
        <f t="shared" si="26"/>
        <v>0</v>
      </c>
      <c r="AC49" s="25">
        <f t="shared" si="27"/>
        <v>0</v>
      </c>
      <c r="AD49" s="25">
        <f t="shared" si="28"/>
        <v>0</v>
      </c>
      <c r="AE49" s="25">
        <f t="shared" si="29"/>
        <v>0</v>
      </c>
      <c r="AF49" s="25">
        <f t="shared" si="30"/>
        <v>0</v>
      </c>
      <c r="AG49" s="25">
        <f t="shared" si="31"/>
        <v>0</v>
      </c>
      <c r="AH49" s="25">
        <f t="shared" si="32"/>
        <v>0</v>
      </c>
      <c r="AI49" s="11" t="s">
        <v>46</v>
      </c>
      <c r="AJ49" s="25">
        <f t="shared" si="33"/>
        <v>0</v>
      </c>
      <c r="AK49" s="25">
        <f t="shared" si="34"/>
        <v>0</v>
      </c>
      <c r="AL49" s="25">
        <f t="shared" si="35"/>
        <v>0</v>
      </c>
      <c r="AN49" s="25">
        <v>12</v>
      </c>
      <c r="AO49" s="25">
        <f>G49*0.330355811</f>
        <v>0</v>
      </c>
      <c r="AP49" s="25">
        <f>G49*(1-0.330355811)</f>
        <v>0</v>
      </c>
      <c r="AQ49" s="27" t="s">
        <v>78</v>
      </c>
      <c r="AV49" s="25">
        <f t="shared" si="36"/>
        <v>0</v>
      </c>
      <c r="AW49" s="25">
        <f t="shared" si="37"/>
        <v>0</v>
      </c>
      <c r="AX49" s="25">
        <f t="shared" si="38"/>
        <v>0</v>
      </c>
      <c r="AY49" s="27" t="s">
        <v>160</v>
      </c>
      <c r="AZ49" s="27" t="s">
        <v>161</v>
      </c>
      <c r="BA49" s="11" t="s">
        <v>56</v>
      </c>
      <c r="BC49" s="25">
        <f t="shared" si="39"/>
        <v>0</v>
      </c>
      <c r="BD49" s="25">
        <f t="shared" si="40"/>
        <v>0</v>
      </c>
      <c r="BE49" s="25">
        <v>0</v>
      </c>
      <c r="BF49" s="25">
        <f>49</f>
        <v>49</v>
      </c>
      <c r="BH49" s="25">
        <f t="shared" si="41"/>
        <v>0</v>
      </c>
      <c r="BI49" s="25">
        <f t="shared" si="42"/>
        <v>0</v>
      </c>
      <c r="BJ49" s="25">
        <f t="shared" si="43"/>
        <v>0</v>
      </c>
      <c r="BK49" s="25"/>
      <c r="BL49" s="25">
        <v>764</v>
      </c>
      <c r="BW49" s="25">
        <v>12</v>
      </c>
      <c r="BX49" s="5" t="s">
        <v>170</v>
      </c>
    </row>
    <row r="50" spans="1:76" x14ac:dyDescent="0.25">
      <c r="A50" s="2" t="s">
        <v>171</v>
      </c>
      <c r="B50" s="3" t="s">
        <v>172</v>
      </c>
      <c r="C50" s="79" t="s">
        <v>173</v>
      </c>
      <c r="D50" s="76"/>
      <c r="E50" s="3" t="s">
        <v>110</v>
      </c>
      <c r="F50" s="25">
        <v>2.6</v>
      </c>
      <c r="G50" s="69">
        <v>0</v>
      </c>
      <c r="H50" s="25">
        <f t="shared" si="22"/>
        <v>0</v>
      </c>
      <c r="I50" s="25">
        <f t="shared" si="23"/>
        <v>0</v>
      </c>
      <c r="J50" s="25">
        <f t="shared" si="24"/>
        <v>0</v>
      </c>
      <c r="K50" s="26" t="s">
        <v>53</v>
      </c>
      <c r="Z50" s="25">
        <f t="shared" si="25"/>
        <v>0</v>
      </c>
      <c r="AB50" s="25">
        <f t="shared" si="26"/>
        <v>0</v>
      </c>
      <c r="AC50" s="25">
        <f t="shared" si="27"/>
        <v>0</v>
      </c>
      <c r="AD50" s="25">
        <f t="shared" si="28"/>
        <v>0</v>
      </c>
      <c r="AE50" s="25">
        <f t="shared" si="29"/>
        <v>0</v>
      </c>
      <c r="AF50" s="25">
        <f t="shared" si="30"/>
        <v>0</v>
      </c>
      <c r="AG50" s="25">
        <f t="shared" si="31"/>
        <v>0</v>
      </c>
      <c r="AH50" s="25">
        <f t="shared" si="32"/>
        <v>0</v>
      </c>
      <c r="AI50" s="11" t="s">
        <v>46</v>
      </c>
      <c r="AJ50" s="25">
        <f t="shared" si="33"/>
        <v>0</v>
      </c>
      <c r="AK50" s="25">
        <f t="shared" si="34"/>
        <v>0</v>
      </c>
      <c r="AL50" s="25">
        <f t="shared" si="35"/>
        <v>0</v>
      </c>
      <c r="AN50" s="25">
        <v>12</v>
      </c>
      <c r="AO50" s="25">
        <f>G50*0</f>
        <v>0</v>
      </c>
      <c r="AP50" s="25">
        <f>G50*(1-0)</f>
        <v>0</v>
      </c>
      <c r="AQ50" s="27" t="s">
        <v>78</v>
      </c>
      <c r="AV50" s="25">
        <f t="shared" si="36"/>
        <v>0</v>
      </c>
      <c r="AW50" s="25">
        <f t="shared" si="37"/>
        <v>0</v>
      </c>
      <c r="AX50" s="25">
        <f t="shared" si="38"/>
        <v>0</v>
      </c>
      <c r="AY50" s="27" t="s">
        <v>160</v>
      </c>
      <c r="AZ50" s="27" t="s">
        <v>161</v>
      </c>
      <c r="BA50" s="11" t="s">
        <v>56</v>
      </c>
      <c r="BC50" s="25">
        <f t="shared" si="39"/>
        <v>0</v>
      </c>
      <c r="BD50" s="25">
        <f t="shared" si="40"/>
        <v>0</v>
      </c>
      <c r="BE50" s="25">
        <v>0</v>
      </c>
      <c r="BF50" s="25">
        <f>50</f>
        <v>50</v>
      </c>
      <c r="BH50" s="25">
        <f t="shared" si="41"/>
        <v>0</v>
      </c>
      <c r="BI50" s="25">
        <f t="shared" si="42"/>
        <v>0</v>
      </c>
      <c r="BJ50" s="25">
        <f t="shared" si="43"/>
        <v>0</v>
      </c>
      <c r="BK50" s="25"/>
      <c r="BL50" s="25">
        <v>764</v>
      </c>
      <c r="BW50" s="25">
        <v>12</v>
      </c>
      <c r="BX50" s="5" t="s">
        <v>173</v>
      </c>
    </row>
    <row r="51" spans="1:76" x14ac:dyDescent="0.25">
      <c r="A51" s="2" t="s">
        <v>174</v>
      </c>
      <c r="B51" s="3" t="s">
        <v>175</v>
      </c>
      <c r="C51" s="79" t="s">
        <v>176</v>
      </c>
      <c r="D51" s="76"/>
      <c r="E51" s="3" t="s">
        <v>52</v>
      </c>
      <c r="F51" s="25">
        <v>29.88</v>
      </c>
      <c r="G51" s="69">
        <v>0</v>
      </c>
      <c r="H51" s="25">
        <f t="shared" si="22"/>
        <v>0</v>
      </c>
      <c r="I51" s="25">
        <f t="shared" si="23"/>
        <v>0</v>
      </c>
      <c r="J51" s="25">
        <f t="shared" si="24"/>
        <v>0</v>
      </c>
      <c r="K51" s="26" t="s">
        <v>53</v>
      </c>
      <c r="Z51" s="25">
        <f t="shared" si="25"/>
        <v>0</v>
      </c>
      <c r="AB51" s="25">
        <f t="shared" si="26"/>
        <v>0</v>
      </c>
      <c r="AC51" s="25">
        <f t="shared" si="27"/>
        <v>0</v>
      </c>
      <c r="AD51" s="25">
        <f t="shared" si="28"/>
        <v>0</v>
      </c>
      <c r="AE51" s="25">
        <f t="shared" si="29"/>
        <v>0</v>
      </c>
      <c r="AF51" s="25">
        <f t="shared" si="30"/>
        <v>0</v>
      </c>
      <c r="AG51" s="25">
        <f t="shared" si="31"/>
        <v>0</v>
      </c>
      <c r="AH51" s="25">
        <f t="shared" si="32"/>
        <v>0</v>
      </c>
      <c r="AI51" s="11" t="s">
        <v>46</v>
      </c>
      <c r="AJ51" s="25">
        <f t="shared" si="33"/>
        <v>0</v>
      </c>
      <c r="AK51" s="25">
        <f t="shared" si="34"/>
        <v>0</v>
      </c>
      <c r="AL51" s="25">
        <f t="shared" si="35"/>
        <v>0</v>
      </c>
      <c r="AN51" s="25">
        <v>12</v>
      </c>
      <c r="AO51" s="25">
        <f>G51*0</f>
        <v>0</v>
      </c>
      <c r="AP51" s="25">
        <f>G51*(1-0)</f>
        <v>0</v>
      </c>
      <c r="AQ51" s="27" t="s">
        <v>78</v>
      </c>
      <c r="AV51" s="25">
        <f t="shared" si="36"/>
        <v>0</v>
      </c>
      <c r="AW51" s="25">
        <f t="shared" si="37"/>
        <v>0</v>
      </c>
      <c r="AX51" s="25">
        <f t="shared" si="38"/>
        <v>0</v>
      </c>
      <c r="AY51" s="27" t="s">
        <v>160</v>
      </c>
      <c r="AZ51" s="27" t="s">
        <v>161</v>
      </c>
      <c r="BA51" s="11" t="s">
        <v>56</v>
      </c>
      <c r="BC51" s="25">
        <f t="shared" si="39"/>
        <v>0</v>
      </c>
      <c r="BD51" s="25">
        <f t="shared" si="40"/>
        <v>0</v>
      </c>
      <c r="BE51" s="25">
        <v>0</v>
      </c>
      <c r="BF51" s="25">
        <f>51</f>
        <v>51</v>
      </c>
      <c r="BH51" s="25">
        <f t="shared" si="41"/>
        <v>0</v>
      </c>
      <c r="BI51" s="25">
        <f t="shared" si="42"/>
        <v>0</v>
      </c>
      <c r="BJ51" s="25">
        <f t="shared" si="43"/>
        <v>0</v>
      </c>
      <c r="BK51" s="25"/>
      <c r="BL51" s="25">
        <v>764</v>
      </c>
      <c r="BW51" s="25">
        <v>12</v>
      </c>
      <c r="BX51" s="5" t="s">
        <v>176</v>
      </c>
    </row>
    <row r="52" spans="1:76" x14ac:dyDescent="0.25">
      <c r="A52" s="2" t="s">
        <v>177</v>
      </c>
      <c r="B52" s="3" t="s">
        <v>178</v>
      </c>
      <c r="C52" s="79" t="s">
        <v>179</v>
      </c>
      <c r="D52" s="76"/>
      <c r="E52" s="3" t="s">
        <v>126</v>
      </c>
      <c r="F52" s="69"/>
      <c r="G52" s="69">
        <v>0</v>
      </c>
      <c r="H52" s="25">
        <f t="shared" si="22"/>
        <v>0</v>
      </c>
      <c r="I52" s="25">
        <f t="shared" si="23"/>
        <v>0</v>
      </c>
      <c r="J52" s="25">
        <f t="shared" si="24"/>
        <v>0</v>
      </c>
      <c r="K52" s="26" t="s">
        <v>53</v>
      </c>
      <c r="Z52" s="25">
        <f t="shared" si="25"/>
        <v>0</v>
      </c>
      <c r="AB52" s="25">
        <f t="shared" si="26"/>
        <v>0</v>
      </c>
      <c r="AC52" s="25">
        <f t="shared" si="27"/>
        <v>0</v>
      </c>
      <c r="AD52" s="25">
        <f t="shared" si="28"/>
        <v>0</v>
      </c>
      <c r="AE52" s="25">
        <f t="shared" si="29"/>
        <v>0</v>
      </c>
      <c r="AF52" s="25">
        <f t="shared" si="30"/>
        <v>0</v>
      </c>
      <c r="AG52" s="25">
        <f t="shared" si="31"/>
        <v>0</v>
      </c>
      <c r="AH52" s="25">
        <f t="shared" si="32"/>
        <v>0</v>
      </c>
      <c r="AI52" s="11" t="s">
        <v>46</v>
      </c>
      <c r="AJ52" s="25">
        <f t="shared" si="33"/>
        <v>0</v>
      </c>
      <c r="AK52" s="25">
        <f t="shared" si="34"/>
        <v>0</v>
      </c>
      <c r="AL52" s="25">
        <f t="shared" si="35"/>
        <v>0</v>
      </c>
      <c r="AN52" s="25">
        <v>12</v>
      </c>
      <c r="AO52" s="25">
        <f>G52*0</f>
        <v>0</v>
      </c>
      <c r="AP52" s="25">
        <f>G52*(1-0)</f>
        <v>0</v>
      </c>
      <c r="AQ52" s="27" t="s">
        <v>70</v>
      </c>
      <c r="AV52" s="25">
        <f t="shared" si="36"/>
        <v>0</v>
      </c>
      <c r="AW52" s="25">
        <f t="shared" si="37"/>
        <v>0</v>
      </c>
      <c r="AX52" s="25">
        <f t="shared" si="38"/>
        <v>0</v>
      </c>
      <c r="AY52" s="27" t="s">
        <v>160</v>
      </c>
      <c r="AZ52" s="27" t="s">
        <v>161</v>
      </c>
      <c r="BA52" s="11" t="s">
        <v>56</v>
      </c>
      <c r="BC52" s="25">
        <f t="shared" si="39"/>
        <v>0</v>
      </c>
      <c r="BD52" s="25">
        <f t="shared" si="40"/>
        <v>0</v>
      </c>
      <c r="BE52" s="25">
        <v>0</v>
      </c>
      <c r="BF52" s="25">
        <f>52</f>
        <v>52</v>
      </c>
      <c r="BH52" s="25">
        <f t="shared" si="41"/>
        <v>0</v>
      </c>
      <c r="BI52" s="25">
        <f t="shared" si="42"/>
        <v>0</v>
      </c>
      <c r="BJ52" s="25">
        <f t="shared" si="43"/>
        <v>0</v>
      </c>
      <c r="BK52" s="25"/>
      <c r="BL52" s="25">
        <v>764</v>
      </c>
      <c r="BW52" s="25">
        <v>12</v>
      </c>
      <c r="BX52" s="5" t="s">
        <v>179</v>
      </c>
    </row>
    <row r="53" spans="1:76" x14ac:dyDescent="0.25">
      <c r="A53" s="28" t="s">
        <v>46</v>
      </c>
      <c r="B53" s="29" t="s">
        <v>180</v>
      </c>
      <c r="C53" s="138" t="s">
        <v>181</v>
      </c>
      <c r="D53" s="139"/>
      <c r="E53" s="30" t="s">
        <v>4</v>
      </c>
      <c r="F53" s="30" t="s">
        <v>4</v>
      </c>
      <c r="G53" s="30" t="s">
        <v>4</v>
      </c>
      <c r="H53" s="1">
        <f>SUM(H54:H55)</f>
        <v>0</v>
      </c>
      <c r="I53" s="1">
        <f>SUM(I54:I55)</f>
        <v>0</v>
      </c>
      <c r="J53" s="1">
        <f>SUM(J54:J55)</f>
        <v>0</v>
      </c>
      <c r="K53" s="31" t="s">
        <v>46</v>
      </c>
      <c r="AI53" s="11" t="s">
        <v>46</v>
      </c>
      <c r="AS53" s="1">
        <f>SUM(AJ54:AJ55)</f>
        <v>0</v>
      </c>
      <c r="AT53" s="1">
        <f>SUM(AK54:AK55)</f>
        <v>0</v>
      </c>
      <c r="AU53" s="1">
        <f>SUM(AL54:AL55)</f>
        <v>0</v>
      </c>
    </row>
    <row r="54" spans="1:76" x14ac:dyDescent="0.25">
      <c r="A54" s="2" t="s">
        <v>182</v>
      </c>
      <c r="B54" s="3" t="s">
        <v>183</v>
      </c>
      <c r="C54" s="79" t="s">
        <v>184</v>
      </c>
      <c r="D54" s="76"/>
      <c r="E54" s="3" t="s">
        <v>52</v>
      </c>
      <c r="F54" s="25">
        <v>2.0499999999999998</v>
      </c>
      <c r="G54" s="69">
        <v>0</v>
      </c>
      <c r="H54" s="25">
        <f>F54*AO54</f>
        <v>0</v>
      </c>
      <c r="I54" s="25">
        <f>F54*AP54</f>
        <v>0</v>
      </c>
      <c r="J54" s="25">
        <f>F54*G54</f>
        <v>0</v>
      </c>
      <c r="K54" s="26" t="s">
        <v>53</v>
      </c>
      <c r="Z54" s="25">
        <f>IF(AQ54="5",BJ54,0)</f>
        <v>0</v>
      </c>
      <c r="AB54" s="25">
        <f>IF(AQ54="1",BH54,0)</f>
        <v>0</v>
      </c>
      <c r="AC54" s="25">
        <f>IF(AQ54="1",BI54,0)</f>
        <v>0</v>
      </c>
      <c r="AD54" s="25">
        <f>IF(AQ54="7",BH54,0)</f>
        <v>0</v>
      </c>
      <c r="AE54" s="25">
        <f>IF(AQ54="7",BI54,0)</f>
        <v>0</v>
      </c>
      <c r="AF54" s="25">
        <f>IF(AQ54="2",BH54,0)</f>
        <v>0</v>
      </c>
      <c r="AG54" s="25">
        <f>IF(AQ54="2",BI54,0)</f>
        <v>0</v>
      </c>
      <c r="AH54" s="25">
        <f>IF(AQ54="0",BJ54,0)</f>
        <v>0</v>
      </c>
      <c r="AI54" s="11" t="s">
        <v>46</v>
      </c>
      <c r="AJ54" s="25">
        <f>IF(AN54=0,J54,0)</f>
        <v>0</v>
      </c>
      <c r="AK54" s="25">
        <f>IF(AN54=12,J54,0)</f>
        <v>0</v>
      </c>
      <c r="AL54" s="25">
        <f>IF(AN54=21,J54,0)</f>
        <v>0</v>
      </c>
      <c r="AN54" s="25">
        <v>12</v>
      </c>
      <c r="AO54" s="25">
        <f>G54*0.148055556</f>
        <v>0</v>
      </c>
      <c r="AP54" s="25">
        <f>G54*(1-0.148055556)</f>
        <v>0</v>
      </c>
      <c r="AQ54" s="27" t="s">
        <v>78</v>
      </c>
      <c r="AV54" s="25">
        <f>AW54+AX54</f>
        <v>0</v>
      </c>
      <c r="AW54" s="25">
        <f>F54*AO54</f>
        <v>0</v>
      </c>
      <c r="AX54" s="25">
        <f>F54*AP54</f>
        <v>0</v>
      </c>
      <c r="AY54" s="27" t="s">
        <v>185</v>
      </c>
      <c r="AZ54" s="27" t="s">
        <v>186</v>
      </c>
      <c r="BA54" s="11" t="s">
        <v>56</v>
      </c>
      <c r="BC54" s="25">
        <f>AW54+AX54</f>
        <v>0</v>
      </c>
      <c r="BD54" s="25">
        <f>G54/(100-BE54)*100</f>
        <v>0</v>
      </c>
      <c r="BE54" s="25">
        <v>0</v>
      </c>
      <c r="BF54" s="25">
        <f>54</f>
        <v>54</v>
      </c>
      <c r="BH54" s="25">
        <f>F54*AO54</f>
        <v>0</v>
      </c>
      <c r="BI54" s="25">
        <f>F54*AP54</f>
        <v>0</v>
      </c>
      <c r="BJ54" s="25">
        <f>F54*G54</f>
        <v>0</v>
      </c>
      <c r="BK54" s="25"/>
      <c r="BL54" s="25">
        <v>783</v>
      </c>
      <c r="BW54" s="25">
        <v>12</v>
      </c>
      <c r="BX54" s="5" t="s">
        <v>184</v>
      </c>
    </row>
    <row r="55" spans="1:76" x14ac:dyDescent="0.25">
      <c r="A55" s="2" t="s">
        <v>187</v>
      </c>
      <c r="B55" s="3" t="s">
        <v>188</v>
      </c>
      <c r="C55" s="79" t="s">
        <v>189</v>
      </c>
      <c r="D55" s="76"/>
      <c r="E55" s="3" t="s">
        <v>52</v>
      </c>
      <c r="F55" s="25">
        <v>2.0499999999999998</v>
      </c>
      <c r="G55" s="69">
        <v>0</v>
      </c>
      <c r="H55" s="25">
        <f>F55*AO55</f>
        <v>0</v>
      </c>
      <c r="I55" s="25">
        <f>F55*AP55</f>
        <v>0</v>
      </c>
      <c r="J55" s="25">
        <f>F55*G55</f>
        <v>0</v>
      </c>
      <c r="K55" s="26" t="s">
        <v>53</v>
      </c>
      <c r="Z55" s="25">
        <f>IF(AQ55="5",BJ55,0)</f>
        <v>0</v>
      </c>
      <c r="AB55" s="25">
        <f>IF(AQ55="1",BH55,0)</f>
        <v>0</v>
      </c>
      <c r="AC55" s="25">
        <f>IF(AQ55="1",BI55,0)</f>
        <v>0</v>
      </c>
      <c r="AD55" s="25">
        <f>IF(AQ55="7",BH55,0)</f>
        <v>0</v>
      </c>
      <c r="AE55" s="25">
        <f>IF(AQ55="7",BI55,0)</f>
        <v>0</v>
      </c>
      <c r="AF55" s="25">
        <f>IF(AQ55="2",BH55,0)</f>
        <v>0</v>
      </c>
      <c r="AG55" s="25">
        <f>IF(AQ55="2",BI55,0)</f>
        <v>0</v>
      </c>
      <c r="AH55" s="25">
        <f>IF(AQ55="0",BJ55,0)</f>
        <v>0</v>
      </c>
      <c r="AI55" s="11" t="s">
        <v>46</v>
      </c>
      <c r="AJ55" s="25">
        <f>IF(AN55=0,J55,0)</f>
        <v>0</v>
      </c>
      <c r="AK55" s="25">
        <f>IF(AN55=12,J55,0)</f>
        <v>0</v>
      </c>
      <c r="AL55" s="25">
        <f>IF(AN55=21,J55,0)</f>
        <v>0</v>
      </c>
      <c r="AN55" s="25">
        <v>12</v>
      </c>
      <c r="AO55" s="25">
        <f>G55*0.723006863</f>
        <v>0</v>
      </c>
      <c r="AP55" s="25">
        <f>G55*(1-0.723006863)</f>
        <v>0</v>
      </c>
      <c r="AQ55" s="27" t="s">
        <v>78</v>
      </c>
      <c r="AV55" s="25">
        <f>AW55+AX55</f>
        <v>0</v>
      </c>
      <c r="AW55" s="25">
        <f>F55*AO55</f>
        <v>0</v>
      </c>
      <c r="AX55" s="25">
        <f>F55*AP55</f>
        <v>0</v>
      </c>
      <c r="AY55" s="27" t="s">
        <v>185</v>
      </c>
      <c r="AZ55" s="27" t="s">
        <v>186</v>
      </c>
      <c r="BA55" s="11" t="s">
        <v>56</v>
      </c>
      <c r="BC55" s="25">
        <f>AW55+AX55</f>
        <v>0</v>
      </c>
      <c r="BD55" s="25">
        <f>G55/(100-BE55)*100</f>
        <v>0</v>
      </c>
      <c r="BE55" s="25">
        <v>0</v>
      </c>
      <c r="BF55" s="25">
        <f>55</f>
        <v>55</v>
      </c>
      <c r="BH55" s="25">
        <f>F55*AO55</f>
        <v>0</v>
      </c>
      <c r="BI55" s="25">
        <f>F55*AP55</f>
        <v>0</v>
      </c>
      <c r="BJ55" s="25">
        <f>F55*G55</f>
        <v>0</v>
      </c>
      <c r="BK55" s="25"/>
      <c r="BL55" s="25">
        <v>783</v>
      </c>
      <c r="BW55" s="25">
        <v>12</v>
      </c>
      <c r="BX55" s="5" t="s">
        <v>189</v>
      </c>
    </row>
    <row r="56" spans="1:76" x14ac:dyDescent="0.25">
      <c r="A56" s="28" t="s">
        <v>46</v>
      </c>
      <c r="B56" s="29" t="s">
        <v>190</v>
      </c>
      <c r="C56" s="138" t="s">
        <v>191</v>
      </c>
      <c r="D56" s="139"/>
      <c r="E56" s="30" t="s">
        <v>4</v>
      </c>
      <c r="F56" s="30" t="s">
        <v>4</v>
      </c>
      <c r="G56" s="30" t="s">
        <v>4</v>
      </c>
      <c r="H56" s="1">
        <f>SUM(H57:H58)</f>
        <v>0</v>
      </c>
      <c r="I56" s="1">
        <f>SUM(I57:I58)</f>
        <v>0</v>
      </c>
      <c r="J56" s="1">
        <f>SUM(J57:J58)</f>
        <v>0</v>
      </c>
      <c r="K56" s="31" t="s">
        <v>46</v>
      </c>
      <c r="AI56" s="11" t="s">
        <v>46</v>
      </c>
      <c r="AS56" s="1">
        <f>SUM(AJ57:AJ58)</f>
        <v>0</v>
      </c>
      <c r="AT56" s="1">
        <f>SUM(AK57:AK58)</f>
        <v>0</v>
      </c>
      <c r="AU56" s="1">
        <f>SUM(AL57:AL58)</f>
        <v>0</v>
      </c>
    </row>
    <row r="57" spans="1:76" x14ac:dyDescent="0.25">
      <c r="A57" s="2" t="s">
        <v>192</v>
      </c>
      <c r="B57" s="3" t="s">
        <v>193</v>
      </c>
      <c r="C57" s="79" t="s">
        <v>194</v>
      </c>
      <c r="D57" s="76"/>
      <c r="E57" s="3" t="s">
        <v>195</v>
      </c>
      <c r="F57" s="25">
        <v>15</v>
      </c>
      <c r="G57" s="69">
        <v>0</v>
      </c>
      <c r="H57" s="25">
        <f>F57*AO57</f>
        <v>0</v>
      </c>
      <c r="I57" s="25">
        <f>F57*AP57</f>
        <v>0</v>
      </c>
      <c r="J57" s="25">
        <f>F57*G57</f>
        <v>0</v>
      </c>
      <c r="K57" s="26" t="s">
        <v>53</v>
      </c>
      <c r="Z57" s="25">
        <f>IF(AQ57="5",BJ57,0)</f>
        <v>0</v>
      </c>
      <c r="AB57" s="25">
        <f>IF(AQ57="1",BH57,0)</f>
        <v>0</v>
      </c>
      <c r="AC57" s="25">
        <f>IF(AQ57="1",BI57,0)</f>
        <v>0</v>
      </c>
      <c r="AD57" s="25">
        <f>IF(AQ57="7",BH57,0)</f>
        <v>0</v>
      </c>
      <c r="AE57" s="25">
        <f>IF(AQ57="7",BI57,0)</f>
        <v>0</v>
      </c>
      <c r="AF57" s="25">
        <f>IF(AQ57="2",BH57,0)</f>
        <v>0</v>
      </c>
      <c r="AG57" s="25">
        <f>IF(AQ57="2",BI57,0)</f>
        <v>0</v>
      </c>
      <c r="AH57" s="25">
        <f>IF(AQ57="0",BJ57,0)</f>
        <v>0</v>
      </c>
      <c r="AI57" s="11" t="s">
        <v>46</v>
      </c>
      <c r="AJ57" s="25">
        <f>IF(AN57=0,J57,0)</f>
        <v>0</v>
      </c>
      <c r="AK57" s="25">
        <f>IF(AN57=12,J57,0)</f>
        <v>0</v>
      </c>
      <c r="AL57" s="25">
        <f>IF(AN57=21,J57,0)</f>
        <v>0</v>
      </c>
      <c r="AN57" s="25">
        <v>12</v>
      </c>
      <c r="AO57" s="25">
        <f>G57*0</f>
        <v>0</v>
      </c>
      <c r="AP57" s="25">
        <f>G57*(1-0)</f>
        <v>0</v>
      </c>
      <c r="AQ57" s="27" t="s">
        <v>49</v>
      </c>
      <c r="AV57" s="25">
        <f>AW57+AX57</f>
        <v>0</v>
      </c>
      <c r="AW57" s="25">
        <f>F57*AO57</f>
        <v>0</v>
      </c>
      <c r="AX57" s="25">
        <f>F57*AP57</f>
        <v>0</v>
      </c>
      <c r="AY57" s="27" t="s">
        <v>196</v>
      </c>
      <c r="AZ57" s="27" t="s">
        <v>197</v>
      </c>
      <c r="BA57" s="11" t="s">
        <v>56</v>
      </c>
      <c r="BC57" s="25">
        <f>AW57+AX57</f>
        <v>0</v>
      </c>
      <c r="BD57" s="25">
        <f>G57/(100-BE57)*100</f>
        <v>0</v>
      </c>
      <c r="BE57" s="25">
        <v>0</v>
      </c>
      <c r="BF57" s="25">
        <f>57</f>
        <v>57</v>
      </c>
      <c r="BH57" s="25">
        <f>F57*AO57</f>
        <v>0</v>
      </c>
      <c r="BI57" s="25">
        <f>F57*AP57</f>
        <v>0</v>
      </c>
      <c r="BJ57" s="25">
        <f>F57*G57</f>
        <v>0</v>
      </c>
      <c r="BK57" s="25"/>
      <c r="BL57" s="25">
        <v>90</v>
      </c>
      <c r="BW57" s="25">
        <v>12</v>
      </c>
      <c r="BX57" s="5" t="s">
        <v>194</v>
      </c>
    </row>
    <row r="58" spans="1:76" x14ac:dyDescent="0.25">
      <c r="A58" s="2" t="s">
        <v>198</v>
      </c>
      <c r="B58" s="3" t="s">
        <v>199</v>
      </c>
      <c r="C58" s="79" t="s">
        <v>200</v>
      </c>
      <c r="D58" s="76"/>
      <c r="E58" s="3" t="s">
        <v>195</v>
      </c>
      <c r="F58" s="25">
        <v>10</v>
      </c>
      <c r="G58" s="69">
        <v>0</v>
      </c>
      <c r="H58" s="25">
        <f>F58*AO58</f>
        <v>0</v>
      </c>
      <c r="I58" s="25">
        <f>F58*AP58</f>
        <v>0</v>
      </c>
      <c r="J58" s="25">
        <f>F58*G58</f>
        <v>0</v>
      </c>
      <c r="K58" s="26" t="s">
        <v>53</v>
      </c>
      <c r="Z58" s="25">
        <f>IF(AQ58="5",BJ58,0)</f>
        <v>0</v>
      </c>
      <c r="AB58" s="25">
        <f>IF(AQ58="1",BH58,0)</f>
        <v>0</v>
      </c>
      <c r="AC58" s="25">
        <f>IF(AQ58="1",BI58,0)</f>
        <v>0</v>
      </c>
      <c r="AD58" s="25">
        <f>IF(AQ58="7",BH58,0)</f>
        <v>0</v>
      </c>
      <c r="AE58" s="25">
        <f>IF(AQ58="7",BI58,0)</f>
        <v>0</v>
      </c>
      <c r="AF58" s="25">
        <f>IF(AQ58="2",BH58,0)</f>
        <v>0</v>
      </c>
      <c r="AG58" s="25">
        <f>IF(AQ58="2",BI58,0)</f>
        <v>0</v>
      </c>
      <c r="AH58" s="25">
        <f>IF(AQ58="0",BJ58,0)</f>
        <v>0</v>
      </c>
      <c r="AI58" s="11" t="s">
        <v>46</v>
      </c>
      <c r="AJ58" s="25">
        <f>IF(AN58=0,J58,0)</f>
        <v>0</v>
      </c>
      <c r="AK58" s="25">
        <f>IF(AN58=12,J58,0)</f>
        <v>0</v>
      </c>
      <c r="AL58" s="25">
        <f>IF(AN58=21,J58,0)</f>
        <v>0</v>
      </c>
      <c r="AN58" s="25">
        <v>12</v>
      </c>
      <c r="AO58" s="25">
        <f>G58*0</f>
        <v>0</v>
      </c>
      <c r="AP58" s="25">
        <f>G58*(1-0)</f>
        <v>0</v>
      </c>
      <c r="AQ58" s="27" t="s">
        <v>49</v>
      </c>
      <c r="AV58" s="25">
        <f>AW58+AX58</f>
        <v>0</v>
      </c>
      <c r="AW58" s="25">
        <f>F58*AO58</f>
        <v>0</v>
      </c>
      <c r="AX58" s="25">
        <f>F58*AP58</f>
        <v>0</v>
      </c>
      <c r="AY58" s="27" t="s">
        <v>196</v>
      </c>
      <c r="AZ58" s="27" t="s">
        <v>197</v>
      </c>
      <c r="BA58" s="11" t="s">
        <v>56</v>
      </c>
      <c r="BC58" s="25">
        <f>AW58+AX58</f>
        <v>0</v>
      </c>
      <c r="BD58" s="25">
        <f>G58/(100-BE58)*100</f>
        <v>0</v>
      </c>
      <c r="BE58" s="25">
        <v>0</v>
      </c>
      <c r="BF58" s="25">
        <f>58</f>
        <v>58</v>
      </c>
      <c r="BH58" s="25">
        <f>F58*AO58</f>
        <v>0</v>
      </c>
      <c r="BI58" s="25">
        <f>F58*AP58</f>
        <v>0</v>
      </c>
      <c r="BJ58" s="25">
        <f>F58*G58</f>
        <v>0</v>
      </c>
      <c r="BK58" s="25"/>
      <c r="BL58" s="25">
        <v>90</v>
      </c>
      <c r="BW58" s="25">
        <v>12</v>
      </c>
      <c r="BX58" s="5" t="s">
        <v>200</v>
      </c>
    </row>
    <row r="59" spans="1:76" x14ac:dyDescent="0.25">
      <c r="A59" s="28" t="s">
        <v>46</v>
      </c>
      <c r="B59" s="29" t="s">
        <v>201</v>
      </c>
      <c r="C59" s="138" t="s">
        <v>202</v>
      </c>
      <c r="D59" s="139"/>
      <c r="E59" s="30" t="s">
        <v>4</v>
      </c>
      <c r="F59" s="30" t="s">
        <v>4</v>
      </c>
      <c r="G59" s="30" t="s">
        <v>4</v>
      </c>
      <c r="H59" s="1">
        <f>SUM(H60:H64)</f>
        <v>0</v>
      </c>
      <c r="I59" s="1">
        <f>SUM(I60:I64)</f>
        <v>0</v>
      </c>
      <c r="J59" s="1">
        <f>SUM(J60:J64)</f>
        <v>0</v>
      </c>
      <c r="K59" s="31" t="s">
        <v>46</v>
      </c>
      <c r="AI59" s="11" t="s">
        <v>46</v>
      </c>
      <c r="AS59" s="1">
        <f>SUM(AJ60:AJ64)</f>
        <v>0</v>
      </c>
      <c r="AT59" s="1">
        <f>SUM(AK60:AK64)</f>
        <v>0</v>
      </c>
      <c r="AU59" s="1">
        <f>SUM(AL60:AL64)</f>
        <v>0</v>
      </c>
    </row>
    <row r="60" spans="1:76" x14ac:dyDescent="0.25">
      <c r="A60" s="2" t="s">
        <v>203</v>
      </c>
      <c r="B60" s="3" t="s">
        <v>204</v>
      </c>
      <c r="C60" s="79" t="s">
        <v>205</v>
      </c>
      <c r="D60" s="76"/>
      <c r="E60" s="3" t="s">
        <v>52</v>
      </c>
      <c r="F60" s="25">
        <v>72</v>
      </c>
      <c r="G60" s="69">
        <v>0</v>
      </c>
      <c r="H60" s="25">
        <f>F60*AO60</f>
        <v>0</v>
      </c>
      <c r="I60" s="25">
        <f>F60*AP60</f>
        <v>0</v>
      </c>
      <c r="J60" s="25">
        <f>F60*G60</f>
        <v>0</v>
      </c>
      <c r="K60" s="26" t="s">
        <v>53</v>
      </c>
      <c r="Z60" s="25">
        <f>IF(AQ60="5",BJ60,0)</f>
        <v>0</v>
      </c>
      <c r="AB60" s="25">
        <f>IF(AQ60="1",BH60,0)</f>
        <v>0</v>
      </c>
      <c r="AC60" s="25">
        <f>IF(AQ60="1",BI60,0)</f>
        <v>0</v>
      </c>
      <c r="AD60" s="25">
        <f>IF(AQ60="7",BH60,0)</f>
        <v>0</v>
      </c>
      <c r="AE60" s="25">
        <f>IF(AQ60="7",BI60,0)</f>
        <v>0</v>
      </c>
      <c r="AF60" s="25">
        <f>IF(AQ60="2",BH60,0)</f>
        <v>0</v>
      </c>
      <c r="AG60" s="25">
        <f>IF(AQ60="2",BI60,0)</f>
        <v>0</v>
      </c>
      <c r="AH60" s="25">
        <f>IF(AQ60="0",BJ60,0)</f>
        <v>0</v>
      </c>
      <c r="AI60" s="11" t="s">
        <v>46</v>
      </c>
      <c r="AJ60" s="25">
        <f>IF(AN60=0,J60,0)</f>
        <v>0</v>
      </c>
      <c r="AK60" s="25">
        <f>IF(AN60=12,J60,0)</f>
        <v>0</v>
      </c>
      <c r="AL60" s="25">
        <f>IF(AN60=21,J60,0)</f>
        <v>0</v>
      </c>
      <c r="AN60" s="25">
        <v>12</v>
      </c>
      <c r="AO60" s="25">
        <f>G60*0.000392157</f>
        <v>0</v>
      </c>
      <c r="AP60" s="25">
        <f>G60*(1-0.000392157)</f>
        <v>0</v>
      </c>
      <c r="AQ60" s="27" t="s">
        <v>49</v>
      </c>
      <c r="AV60" s="25">
        <f>AW60+AX60</f>
        <v>0</v>
      </c>
      <c r="AW60" s="25">
        <f>F60*AO60</f>
        <v>0</v>
      </c>
      <c r="AX60" s="25">
        <f>F60*AP60</f>
        <v>0</v>
      </c>
      <c r="AY60" s="27" t="s">
        <v>206</v>
      </c>
      <c r="AZ60" s="27" t="s">
        <v>197</v>
      </c>
      <c r="BA60" s="11" t="s">
        <v>56</v>
      </c>
      <c r="BC60" s="25">
        <f>AW60+AX60</f>
        <v>0</v>
      </c>
      <c r="BD60" s="25">
        <f>G60/(100-BE60)*100</f>
        <v>0</v>
      </c>
      <c r="BE60" s="25">
        <v>0</v>
      </c>
      <c r="BF60" s="25">
        <f>60</f>
        <v>60</v>
      </c>
      <c r="BH60" s="25">
        <f>F60*AO60</f>
        <v>0</v>
      </c>
      <c r="BI60" s="25">
        <f>F60*AP60</f>
        <v>0</v>
      </c>
      <c r="BJ60" s="25">
        <f>F60*G60</f>
        <v>0</v>
      </c>
      <c r="BK60" s="25"/>
      <c r="BL60" s="25">
        <v>94</v>
      </c>
      <c r="BW60" s="25">
        <v>12</v>
      </c>
      <c r="BX60" s="5" t="s">
        <v>205</v>
      </c>
    </row>
    <row r="61" spans="1:76" x14ac:dyDescent="0.25">
      <c r="A61" s="2" t="s">
        <v>207</v>
      </c>
      <c r="B61" s="3" t="s">
        <v>208</v>
      </c>
      <c r="C61" s="79" t="s">
        <v>209</v>
      </c>
      <c r="D61" s="76"/>
      <c r="E61" s="3" t="s">
        <v>52</v>
      </c>
      <c r="F61" s="25">
        <v>720</v>
      </c>
      <c r="G61" s="69">
        <v>0</v>
      </c>
      <c r="H61" s="25">
        <f>F61*AO61</f>
        <v>0</v>
      </c>
      <c r="I61" s="25">
        <f>F61*AP61</f>
        <v>0</v>
      </c>
      <c r="J61" s="25">
        <f>F61*G61</f>
        <v>0</v>
      </c>
      <c r="K61" s="26" t="s">
        <v>53</v>
      </c>
      <c r="Z61" s="25">
        <f>IF(AQ61="5",BJ61,0)</f>
        <v>0</v>
      </c>
      <c r="AB61" s="25">
        <f>IF(AQ61="1",BH61,0)</f>
        <v>0</v>
      </c>
      <c r="AC61" s="25">
        <f>IF(AQ61="1",BI61,0)</f>
        <v>0</v>
      </c>
      <c r="AD61" s="25">
        <f>IF(AQ61="7",BH61,0)</f>
        <v>0</v>
      </c>
      <c r="AE61" s="25">
        <f>IF(AQ61="7",BI61,0)</f>
        <v>0</v>
      </c>
      <c r="AF61" s="25">
        <f>IF(AQ61="2",BH61,0)</f>
        <v>0</v>
      </c>
      <c r="AG61" s="25">
        <f>IF(AQ61="2",BI61,0)</f>
        <v>0</v>
      </c>
      <c r="AH61" s="25">
        <f>IF(AQ61="0",BJ61,0)</f>
        <v>0</v>
      </c>
      <c r="AI61" s="11" t="s">
        <v>46</v>
      </c>
      <c r="AJ61" s="25">
        <f>IF(AN61=0,J61,0)</f>
        <v>0</v>
      </c>
      <c r="AK61" s="25">
        <f>IF(AN61=12,J61,0)</f>
        <v>0</v>
      </c>
      <c r="AL61" s="25">
        <f>IF(AN61=21,J61,0)</f>
        <v>0</v>
      </c>
      <c r="AN61" s="25">
        <v>12</v>
      </c>
      <c r="AO61" s="25">
        <f>G61*0</f>
        <v>0</v>
      </c>
      <c r="AP61" s="25">
        <f>G61*(1-0)</f>
        <v>0</v>
      </c>
      <c r="AQ61" s="27" t="s">
        <v>49</v>
      </c>
      <c r="AV61" s="25">
        <f>AW61+AX61</f>
        <v>0</v>
      </c>
      <c r="AW61" s="25">
        <f>F61*AO61</f>
        <v>0</v>
      </c>
      <c r="AX61" s="25">
        <f>F61*AP61</f>
        <v>0</v>
      </c>
      <c r="AY61" s="27" t="s">
        <v>206</v>
      </c>
      <c r="AZ61" s="27" t="s">
        <v>197</v>
      </c>
      <c r="BA61" s="11" t="s">
        <v>56</v>
      </c>
      <c r="BC61" s="25">
        <f>AW61+AX61</f>
        <v>0</v>
      </c>
      <c r="BD61" s="25">
        <f>G61/(100-BE61)*100</f>
        <v>0</v>
      </c>
      <c r="BE61" s="25">
        <v>0</v>
      </c>
      <c r="BF61" s="25">
        <f>61</f>
        <v>61</v>
      </c>
      <c r="BH61" s="25">
        <f>F61*AO61</f>
        <v>0</v>
      </c>
      <c r="BI61" s="25">
        <f>F61*AP61</f>
        <v>0</v>
      </c>
      <c r="BJ61" s="25">
        <f>F61*G61</f>
        <v>0</v>
      </c>
      <c r="BK61" s="25"/>
      <c r="BL61" s="25">
        <v>94</v>
      </c>
      <c r="BW61" s="25">
        <v>12</v>
      </c>
      <c r="BX61" s="5" t="s">
        <v>209</v>
      </c>
    </row>
    <row r="62" spans="1:76" x14ac:dyDescent="0.25">
      <c r="A62" s="2" t="s">
        <v>210</v>
      </c>
      <c r="B62" s="3" t="s">
        <v>211</v>
      </c>
      <c r="C62" s="79" t="s">
        <v>212</v>
      </c>
      <c r="D62" s="76"/>
      <c r="E62" s="3" t="s">
        <v>52</v>
      </c>
      <c r="F62" s="25">
        <v>72</v>
      </c>
      <c r="G62" s="69">
        <v>0</v>
      </c>
      <c r="H62" s="25">
        <f>F62*AO62</f>
        <v>0</v>
      </c>
      <c r="I62" s="25">
        <f>F62*AP62</f>
        <v>0</v>
      </c>
      <c r="J62" s="25">
        <f>F62*G62</f>
        <v>0</v>
      </c>
      <c r="K62" s="26" t="s">
        <v>53</v>
      </c>
      <c r="Z62" s="25">
        <f>IF(AQ62="5",BJ62,0)</f>
        <v>0</v>
      </c>
      <c r="AB62" s="25">
        <f>IF(AQ62="1",BH62,0)</f>
        <v>0</v>
      </c>
      <c r="AC62" s="25">
        <f>IF(AQ62="1",BI62,0)</f>
        <v>0</v>
      </c>
      <c r="AD62" s="25">
        <f>IF(AQ62="7",BH62,0)</f>
        <v>0</v>
      </c>
      <c r="AE62" s="25">
        <f>IF(AQ62="7",BI62,0)</f>
        <v>0</v>
      </c>
      <c r="AF62" s="25">
        <f>IF(AQ62="2",BH62,0)</f>
        <v>0</v>
      </c>
      <c r="AG62" s="25">
        <f>IF(AQ62="2",BI62,0)</f>
        <v>0</v>
      </c>
      <c r="AH62" s="25">
        <f>IF(AQ62="0",BJ62,0)</f>
        <v>0</v>
      </c>
      <c r="AI62" s="11" t="s">
        <v>46</v>
      </c>
      <c r="AJ62" s="25">
        <f>IF(AN62=0,J62,0)</f>
        <v>0</v>
      </c>
      <c r="AK62" s="25">
        <f>IF(AN62=12,J62,0)</f>
        <v>0</v>
      </c>
      <c r="AL62" s="25">
        <f>IF(AN62=21,J62,0)</f>
        <v>0</v>
      </c>
      <c r="AN62" s="25">
        <v>12</v>
      </c>
      <c r="AO62" s="25">
        <f>G62*0</f>
        <v>0</v>
      </c>
      <c r="AP62" s="25">
        <f>G62*(1-0)</f>
        <v>0</v>
      </c>
      <c r="AQ62" s="27" t="s">
        <v>49</v>
      </c>
      <c r="AV62" s="25">
        <f>AW62+AX62</f>
        <v>0</v>
      </c>
      <c r="AW62" s="25">
        <f>F62*AO62</f>
        <v>0</v>
      </c>
      <c r="AX62" s="25">
        <f>F62*AP62</f>
        <v>0</v>
      </c>
      <c r="AY62" s="27" t="s">
        <v>206</v>
      </c>
      <c r="AZ62" s="27" t="s">
        <v>197</v>
      </c>
      <c r="BA62" s="11" t="s">
        <v>56</v>
      </c>
      <c r="BC62" s="25">
        <f>AW62+AX62</f>
        <v>0</v>
      </c>
      <c r="BD62" s="25">
        <f>G62/(100-BE62)*100</f>
        <v>0</v>
      </c>
      <c r="BE62" s="25">
        <v>0</v>
      </c>
      <c r="BF62" s="25">
        <f>62</f>
        <v>62</v>
      </c>
      <c r="BH62" s="25">
        <f>F62*AO62</f>
        <v>0</v>
      </c>
      <c r="BI62" s="25">
        <f>F62*AP62</f>
        <v>0</v>
      </c>
      <c r="BJ62" s="25">
        <f>F62*G62</f>
        <v>0</v>
      </c>
      <c r="BK62" s="25"/>
      <c r="BL62" s="25">
        <v>94</v>
      </c>
      <c r="BW62" s="25">
        <v>12</v>
      </c>
      <c r="BX62" s="5" t="s">
        <v>212</v>
      </c>
    </row>
    <row r="63" spans="1:76" x14ac:dyDescent="0.25">
      <c r="A63" s="2" t="s">
        <v>213</v>
      </c>
      <c r="B63" s="3" t="s">
        <v>214</v>
      </c>
      <c r="C63" s="79" t="s">
        <v>215</v>
      </c>
      <c r="D63" s="76"/>
      <c r="E63" s="3" t="s">
        <v>216</v>
      </c>
      <c r="F63" s="25">
        <v>10</v>
      </c>
      <c r="G63" s="69">
        <v>0</v>
      </c>
      <c r="H63" s="25">
        <f>F63*AO63</f>
        <v>0</v>
      </c>
      <c r="I63" s="25">
        <f>F63*AP63</f>
        <v>0</v>
      </c>
      <c r="J63" s="25">
        <f>F63*G63</f>
        <v>0</v>
      </c>
      <c r="K63" s="26" t="s">
        <v>53</v>
      </c>
      <c r="Z63" s="25">
        <f>IF(AQ63="5",BJ63,0)</f>
        <v>0</v>
      </c>
      <c r="AB63" s="25">
        <f>IF(AQ63="1",BH63,0)</f>
        <v>0</v>
      </c>
      <c r="AC63" s="25">
        <f>IF(AQ63="1",BI63,0)</f>
        <v>0</v>
      </c>
      <c r="AD63" s="25">
        <f>IF(AQ63="7",BH63,0)</f>
        <v>0</v>
      </c>
      <c r="AE63" s="25">
        <f>IF(AQ63="7",BI63,0)</f>
        <v>0</v>
      </c>
      <c r="AF63" s="25">
        <f>IF(AQ63="2",BH63,0)</f>
        <v>0</v>
      </c>
      <c r="AG63" s="25">
        <f>IF(AQ63="2",BI63,0)</f>
        <v>0</v>
      </c>
      <c r="AH63" s="25">
        <f>IF(AQ63="0",BJ63,0)</f>
        <v>0</v>
      </c>
      <c r="AI63" s="11" t="s">
        <v>46</v>
      </c>
      <c r="AJ63" s="25">
        <f>IF(AN63=0,J63,0)</f>
        <v>0</v>
      </c>
      <c r="AK63" s="25">
        <f>IF(AN63=12,J63,0)</f>
        <v>0</v>
      </c>
      <c r="AL63" s="25">
        <f>IF(AN63=21,J63,0)</f>
        <v>0</v>
      </c>
      <c r="AN63" s="25">
        <v>12</v>
      </c>
      <c r="AO63" s="25">
        <f>G63*0</f>
        <v>0</v>
      </c>
      <c r="AP63" s="25">
        <f>G63*(1-0)</f>
        <v>0</v>
      </c>
      <c r="AQ63" s="27" t="s">
        <v>49</v>
      </c>
      <c r="AV63" s="25">
        <f>AW63+AX63</f>
        <v>0</v>
      </c>
      <c r="AW63" s="25">
        <f>F63*AO63</f>
        <v>0</v>
      </c>
      <c r="AX63" s="25">
        <f>F63*AP63</f>
        <v>0</v>
      </c>
      <c r="AY63" s="27" t="s">
        <v>206</v>
      </c>
      <c r="AZ63" s="27" t="s">
        <v>197</v>
      </c>
      <c r="BA63" s="11" t="s">
        <v>56</v>
      </c>
      <c r="BC63" s="25">
        <f>AW63+AX63</f>
        <v>0</v>
      </c>
      <c r="BD63" s="25">
        <f>G63/(100-BE63)*100</f>
        <v>0</v>
      </c>
      <c r="BE63" s="25">
        <v>0</v>
      </c>
      <c r="BF63" s="25">
        <f>63</f>
        <v>63</v>
      </c>
      <c r="BH63" s="25">
        <f>F63*AO63</f>
        <v>0</v>
      </c>
      <c r="BI63" s="25">
        <f>F63*AP63</f>
        <v>0</v>
      </c>
      <c r="BJ63" s="25">
        <f>F63*G63</f>
        <v>0</v>
      </c>
      <c r="BK63" s="25"/>
      <c r="BL63" s="25">
        <v>94</v>
      </c>
      <c r="BW63" s="25">
        <v>12</v>
      </c>
      <c r="BX63" s="5" t="s">
        <v>215</v>
      </c>
    </row>
    <row r="64" spans="1:76" x14ac:dyDescent="0.25">
      <c r="A64" s="2" t="s">
        <v>217</v>
      </c>
      <c r="B64" s="3" t="s">
        <v>218</v>
      </c>
      <c r="C64" s="79" t="s">
        <v>219</v>
      </c>
      <c r="D64" s="76"/>
      <c r="E64" s="3" t="s">
        <v>52</v>
      </c>
      <c r="F64" s="25">
        <v>44.8</v>
      </c>
      <c r="G64" s="69">
        <v>0</v>
      </c>
      <c r="H64" s="25">
        <f>F64*AO64</f>
        <v>0</v>
      </c>
      <c r="I64" s="25">
        <f>F64*AP64</f>
        <v>0</v>
      </c>
      <c r="J64" s="25">
        <f>F64*G64</f>
        <v>0</v>
      </c>
      <c r="K64" s="26" t="s">
        <v>53</v>
      </c>
      <c r="Z64" s="25">
        <f>IF(AQ64="5",BJ64,0)</f>
        <v>0</v>
      </c>
      <c r="AB64" s="25">
        <f>IF(AQ64="1",BH64,0)</f>
        <v>0</v>
      </c>
      <c r="AC64" s="25">
        <f>IF(AQ64="1",BI64,0)</f>
        <v>0</v>
      </c>
      <c r="AD64" s="25">
        <f>IF(AQ64="7",BH64,0)</f>
        <v>0</v>
      </c>
      <c r="AE64" s="25">
        <f>IF(AQ64="7",BI64,0)</f>
        <v>0</v>
      </c>
      <c r="AF64" s="25">
        <f>IF(AQ64="2",BH64,0)</f>
        <v>0</v>
      </c>
      <c r="AG64" s="25">
        <f>IF(AQ64="2",BI64,0)</f>
        <v>0</v>
      </c>
      <c r="AH64" s="25">
        <f>IF(AQ64="0",BJ64,0)</f>
        <v>0</v>
      </c>
      <c r="AI64" s="11" t="s">
        <v>46</v>
      </c>
      <c r="AJ64" s="25">
        <f>IF(AN64=0,J64,0)</f>
        <v>0</v>
      </c>
      <c r="AK64" s="25">
        <f>IF(AN64=12,J64,0)</f>
        <v>0</v>
      </c>
      <c r="AL64" s="25">
        <f>IF(AN64=21,J64,0)</f>
        <v>0</v>
      </c>
      <c r="AN64" s="25">
        <v>12</v>
      </c>
      <c r="AO64" s="25">
        <f>G64*0.406683346</f>
        <v>0</v>
      </c>
      <c r="AP64" s="25">
        <f>G64*(1-0.406683346)</f>
        <v>0</v>
      </c>
      <c r="AQ64" s="27" t="s">
        <v>49</v>
      </c>
      <c r="AV64" s="25">
        <f>AW64+AX64</f>
        <v>0</v>
      </c>
      <c r="AW64" s="25">
        <f>F64*AO64</f>
        <v>0</v>
      </c>
      <c r="AX64" s="25">
        <f>F64*AP64</f>
        <v>0</v>
      </c>
      <c r="AY64" s="27" t="s">
        <v>206</v>
      </c>
      <c r="AZ64" s="27" t="s">
        <v>197</v>
      </c>
      <c r="BA64" s="11" t="s">
        <v>56</v>
      </c>
      <c r="BC64" s="25">
        <f>AW64+AX64</f>
        <v>0</v>
      </c>
      <c r="BD64" s="25">
        <f>G64/(100-BE64)*100</f>
        <v>0</v>
      </c>
      <c r="BE64" s="25">
        <v>0</v>
      </c>
      <c r="BF64" s="25">
        <f>64</f>
        <v>64</v>
      </c>
      <c r="BH64" s="25">
        <f>F64*AO64</f>
        <v>0</v>
      </c>
      <c r="BI64" s="25">
        <f>F64*AP64</f>
        <v>0</v>
      </c>
      <c r="BJ64" s="25">
        <f>F64*G64</f>
        <v>0</v>
      </c>
      <c r="BK64" s="25"/>
      <c r="BL64" s="25">
        <v>94</v>
      </c>
      <c r="BW64" s="25">
        <v>12</v>
      </c>
      <c r="BX64" s="5" t="s">
        <v>219</v>
      </c>
    </row>
    <row r="65" spans="1:76" x14ac:dyDescent="0.25">
      <c r="A65" s="28" t="s">
        <v>46</v>
      </c>
      <c r="B65" s="29" t="s">
        <v>220</v>
      </c>
      <c r="C65" s="138" t="s">
        <v>221</v>
      </c>
      <c r="D65" s="139"/>
      <c r="E65" s="30" t="s">
        <v>4</v>
      </c>
      <c r="F65" s="30" t="s">
        <v>4</v>
      </c>
      <c r="G65" s="30" t="s">
        <v>4</v>
      </c>
      <c r="H65" s="1">
        <f>SUM(H66:H66)</f>
        <v>0</v>
      </c>
      <c r="I65" s="1">
        <f>SUM(I66:I66)</f>
        <v>0</v>
      </c>
      <c r="J65" s="1">
        <f>SUM(J66:J66)</f>
        <v>0</v>
      </c>
      <c r="K65" s="31" t="s">
        <v>46</v>
      </c>
      <c r="AI65" s="11" t="s">
        <v>46</v>
      </c>
      <c r="AS65" s="1">
        <f>SUM(AJ66:AJ66)</f>
        <v>0</v>
      </c>
      <c r="AT65" s="1">
        <f>SUM(AK66:AK66)</f>
        <v>0</v>
      </c>
      <c r="AU65" s="1">
        <f>SUM(AL66:AL66)</f>
        <v>0</v>
      </c>
    </row>
    <row r="66" spans="1:76" x14ac:dyDescent="0.25">
      <c r="A66" s="2" t="s">
        <v>222</v>
      </c>
      <c r="B66" s="3" t="s">
        <v>223</v>
      </c>
      <c r="C66" s="79" t="s">
        <v>224</v>
      </c>
      <c r="D66" s="76"/>
      <c r="E66" s="3" t="s">
        <v>52</v>
      </c>
      <c r="F66" s="25">
        <v>560</v>
      </c>
      <c r="G66" s="69">
        <v>0</v>
      </c>
      <c r="H66" s="25">
        <f>F66*AO66</f>
        <v>0</v>
      </c>
      <c r="I66" s="25">
        <f>F66*AP66</f>
        <v>0</v>
      </c>
      <c r="J66" s="25">
        <f>F66*G66</f>
        <v>0</v>
      </c>
      <c r="K66" s="26" t="s">
        <v>53</v>
      </c>
      <c r="Z66" s="25">
        <f>IF(AQ66="5",BJ66,0)</f>
        <v>0</v>
      </c>
      <c r="AB66" s="25">
        <f>IF(AQ66="1",BH66,0)</f>
        <v>0</v>
      </c>
      <c r="AC66" s="25">
        <f>IF(AQ66="1",BI66,0)</f>
        <v>0</v>
      </c>
      <c r="AD66" s="25">
        <f>IF(AQ66="7",BH66,0)</f>
        <v>0</v>
      </c>
      <c r="AE66" s="25">
        <f>IF(AQ66="7",BI66,0)</f>
        <v>0</v>
      </c>
      <c r="AF66" s="25">
        <f>IF(AQ66="2",BH66,0)</f>
        <v>0</v>
      </c>
      <c r="AG66" s="25">
        <f>IF(AQ66="2",BI66,0)</f>
        <v>0</v>
      </c>
      <c r="AH66" s="25">
        <f>IF(AQ66="0",BJ66,0)</f>
        <v>0</v>
      </c>
      <c r="AI66" s="11" t="s">
        <v>46</v>
      </c>
      <c r="AJ66" s="25">
        <f>IF(AN66=0,J66,0)</f>
        <v>0</v>
      </c>
      <c r="AK66" s="25">
        <f>IF(AN66=12,J66,0)</f>
        <v>0</v>
      </c>
      <c r="AL66" s="25">
        <f>IF(AN66=21,J66,0)</f>
        <v>0</v>
      </c>
      <c r="AN66" s="25">
        <v>12</v>
      </c>
      <c r="AO66" s="25">
        <f>G66*0</f>
        <v>0</v>
      </c>
      <c r="AP66" s="25">
        <f>G66*(1-0)</f>
        <v>0</v>
      </c>
      <c r="AQ66" s="27" t="s">
        <v>49</v>
      </c>
      <c r="AV66" s="25">
        <f>AW66+AX66</f>
        <v>0</v>
      </c>
      <c r="AW66" s="25">
        <f>F66*AO66</f>
        <v>0</v>
      </c>
      <c r="AX66" s="25">
        <f>F66*AP66</f>
        <v>0</v>
      </c>
      <c r="AY66" s="27" t="s">
        <v>225</v>
      </c>
      <c r="AZ66" s="27" t="s">
        <v>197</v>
      </c>
      <c r="BA66" s="11" t="s">
        <v>56</v>
      </c>
      <c r="BC66" s="25">
        <f>AW66+AX66</f>
        <v>0</v>
      </c>
      <c r="BD66" s="25">
        <f>G66/(100-BE66)*100</f>
        <v>0</v>
      </c>
      <c r="BE66" s="25">
        <v>0</v>
      </c>
      <c r="BF66" s="25">
        <f>66</f>
        <v>66</v>
      </c>
      <c r="BH66" s="25">
        <f>F66*AO66</f>
        <v>0</v>
      </c>
      <c r="BI66" s="25">
        <f>F66*AP66</f>
        <v>0</v>
      </c>
      <c r="BJ66" s="25">
        <f>F66*G66</f>
        <v>0</v>
      </c>
      <c r="BK66" s="25"/>
      <c r="BL66" s="25">
        <v>95</v>
      </c>
      <c r="BW66" s="25">
        <v>12</v>
      </c>
      <c r="BX66" s="5" t="s">
        <v>224</v>
      </c>
    </row>
    <row r="67" spans="1:76" x14ac:dyDescent="0.25">
      <c r="A67" s="28" t="s">
        <v>46</v>
      </c>
      <c r="B67" s="29" t="s">
        <v>226</v>
      </c>
      <c r="C67" s="138" t="s">
        <v>227</v>
      </c>
      <c r="D67" s="139"/>
      <c r="E67" s="30" t="s">
        <v>4</v>
      </c>
      <c r="F67" s="30" t="s">
        <v>4</v>
      </c>
      <c r="G67" s="30" t="s">
        <v>4</v>
      </c>
      <c r="H67" s="1">
        <f>SUM(H68:H70)</f>
        <v>0</v>
      </c>
      <c r="I67" s="1">
        <f>SUM(I68:I70)</f>
        <v>0</v>
      </c>
      <c r="J67" s="1">
        <f>SUM(J68:J70)</f>
        <v>0</v>
      </c>
      <c r="K67" s="31" t="s">
        <v>46</v>
      </c>
      <c r="AI67" s="11" t="s">
        <v>46</v>
      </c>
      <c r="AS67" s="1">
        <f>SUM(AJ68:AJ70)</f>
        <v>0</v>
      </c>
      <c r="AT67" s="1">
        <f>SUM(AK68:AK70)</f>
        <v>0</v>
      </c>
      <c r="AU67" s="1">
        <f>SUM(AL68:AL70)</f>
        <v>0</v>
      </c>
    </row>
    <row r="68" spans="1:76" x14ac:dyDescent="0.25">
      <c r="A68" s="2" t="s">
        <v>228</v>
      </c>
      <c r="B68" s="3" t="s">
        <v>229</v>
      </c>
      <c r="C68" s="79" t="s">
        <v>230</v>
      </c>
      <c r="D68" s="76"/>
      <c r="E68" s="3" t="s">
        <v>81</v>
      </c>
      <c r="F68" s="25">
        <v>1</v>
      </c>
      <c r="G68" s="69">
        <v>0</v>
      </c>
      <c r="H68" s="25">
        <f>F68*AO68</f>
        <v>0</v>
      </c>
      <c r="I68" s="25">
        <f>F68*AP68</f>
        <v>0</v>
      </c>
      <c r="J68" s="25">
        <f>F68*G68</f>
        <v>0</v>
      </c>
      <c r="K68" s="26" t="s">
        <v>53</v>
      </c>
      <c r="Z68" s="25">
        <f>IF(AQ68="5",BJ68,0)</f>
        <v>0</v>
      </c>
      <c r="AB68" s="25">
        <f>IF(AQ68="1",BH68,0)</f>
        <v>0</v>
      </c>
      <c r="AC68" s="25">
        <f>IF(AQ68="1",BI68,0)</f>
        <v>0</v>
      </c>
      <c r="AD68" s="25">
        <f>IF(AQ68="7",BH68,0)</f>
        <v>0</v>
      </c>
      <c r="AE68" s="25">
        <f>IF(AQ68="7",BI68,0)</f>
        <v>0</v>
      </c>
      <c r="AF68" s="25">
        <f>IF(AQ68="2",BH68,0)</f>
        <v>0</v>
      </c>
      <c r="AG68" s="25">
        <f>IF(AQ68="2",BI68,0)</f>
        <v>0</v>
      </c>
      <c r="AH68" s="25">
        <f>IF(AQ68="0",BJ68,0)</f>
        <v>0</v>
      </c>
      <c r="AI68" s="11" t="s">
        <v>46</v>
      </c>
      <c r="AJ68" s="25">
        <f>IF(AN68=0,J68,0)</f>
        <v>0</v>
      </c>
      <c r="AK68" s="25">
        <f>IF(AN68=12,J68,0)</f>
        <v>0</v>
      </c>
      <c r="AL68" s="25">
        <f>IF(AN68=21,J68,0)</f>
        <v>0</v>
      </c>
      <c r="AN68" s="25">
        <v>12</v>
      </c>
      <c r="AO68" s="25">
        <f>G68*0.160031206</f>
        <v>0</v>
      </c>
      <c r="AP68" s="25">
        <f>G68*(1-0.160031206)</f>
        <v>0</v>
      </c>
      <c r="AQ68" s="27" t="s">
        <v>49</v>
      </c>
      <c r="AV68" s="25">
        <f>AW68+AX68</f>
        <v>0</v>
      </c>
      <c r="AW68" s="25">
        <f>F68*AO68</f>
        <v>0</v>
      </c>
      <c r="AX68" s="25">
        <f>F68*AP68</f>
        <v>0</v>
      </c>
      <c r="AY68" s="27" t="s">
        <v>231</v>
      </c>
      <c r="AZ68" s="27" t="s">
        <v>197</v>
      </c>
      <c r="BA68" s="11" t="s">
        <v>56</v>
      </c>
      <c r="BC68" s="25">
        <f>AW68+AX68</f>
        <v>0</v>
      </c>
      <c r="BD68" s="25">
        <f>G68/(100-BE68)*100</f>
        <v>0</v>
      </c>
      <c r="BE68" s="25">
        <v>0</v>
      </c>
      <c r="BF68" s="25">
        <f>68</f>
        <v>68</v>
      </c>
      <c r="BH68" s="25">
        <f>F68*AO68</f>
        <v>0</v>
      </c>
      <c r="BI68" s="25">
        <f>F68*AP68</f>
        <v>0</v>
      </c>
      <c r="BJ68" s="25">
        <f>F68*G68</f>
        <v>0</v>
      </c>
      <c r="BK68" s="25"/>
      <c r="BL68" s="25">
        <v>96</v>
      </c>
      <c r="BW68" s="25">
        <v>12</v>
      </c>
      <c r="BX68" s="5" t="s">
        <v>230</v>
      </c>
    </row>
    <row r="69" spans="1:76" x14ac:dyDescent="0.25">
      <c r="A69" s="2" t="s">
        <v>232</v>
      </c>
      <c r="B69" s="3" t="s">
        <v>233</v>
      </c>
      <c r="C69" s="79" t="s">
        <v>234</v>
      </c>
      <c r="D69" s="76"/>
      <c r="E69" s="3" t="s">
        <v>81</v>
      </c>
      <c r="F69" s="25">
        <v>2</v>
      </c>
      <c r="G69" s="69">
        <v>0</v>
      </c>
      <c r="H69" s="25">
        <f>F69*AO69</f>
        <v>0</v>
      </c>
      <c r="I69" s="25">
        <f>F69*AP69</f>
        <v>0</v>
      </c>
      <c r="J69" s="25">
        <f>F69*G69</f>
        <v>0</v>
      </c>
      <c r="K69" s="26" t="s">
        <v>53</v>
      </c>
      <c r="Z69" s="25">
        <f>IF(AQ69="5",BJ69,0)</f>
        <v>0</v>
      </c>
      <c r="AB69" s="25">
        <f>IF(AQ69="1",BH69,0)</f>
        <v>0</v>
      </c>
      <c r="AC69" s="25">
        <f>IF(AQ69="1",BI69,0)</f>
        <v>0</v>
      </c>
      <c r="AD69" s="25">
        <f>IF(AQ69="7",BH69,0)</f>
        <v>0</v>
      </c>
      <c r="AE69" s="25">
        <f>IF(AQ69="7",BI69,0)</f>
        <v>0</v>
      </c>
      <c r="AF69" s="25">
        <f>IF(AQ69="2",BH69,0)</f>
        <v>0</v>
      </c>
      <c r="AG69" s="25">
        <f>IF(AQ69="2",BI69,0)</f>
        <v>0</v>
      </c>
      <c r="AH69" s="25">
        <f>IF(AQ69="0",BJ69,0)</f>
        <v>0</v>
      </c>
      <c r="AI69" s="11" t="s">
        <v>46</v>
      </c>
      <c r="AJ69" s="25">
        <f>IF(AN69=0,J69,0)</f>
        <v>0</v>
      </c>
      <c r="AK69" s="25">
        <f>IF(AN69=12,J69,0)</f>
        <v>0</v>
      </c>
      <c r="AL69" s="25">
        <f>IF(AN69=21,J69,0)</f>
        <v>0</v>
      </c>
      <c r="AN69" s="25">
        <v>12</v>
      </c>
      <c r="AO69" s="25">
        <f>G69*0</f>
        <v>0</v>
      </c>
      <c r="AP69" s="25">
        <f>G69*(1-0)</f>
        <v>0</v>
      </c>
      <c r="AQ69" s="27" t="s">
        <v>49</v>
      </c>
      <c r="AV69" s="25">
        <f>AW69+AX69</f>
        <v>0</v>
      </c>
      <c r="AW69" s="25">
        <f>F69*AO69</f>
        <v>0</v>
      </c>
      <c r="AX69" s="25">
        <f>F69*AP69</f>
        <v>0</v>
      </c>
      <c r="AY69" s="27" t="s">
        <v>231</v>
      </c>
      <c r="AZ69" s="27" t="s">
        <v>197</v>
      </c>
      <c r="BA69" s="11" t="s">
        <v>56</v>
      </c>
      <c r="BC69" s="25">
        <f>AW69+AX69</f>
        <v>0</v>
      </c>
      <c r="BD69" s="25">
        <f>G69/(100-BE69)*100</f>
        <v>0</v>
      </c>
      <c r="BE69" s="25">
        <v>0</v>
      </c>
      <c r="BF69" s="25">
        <f>69</f>
        <v>69</v>
      </c>
      <c r="BH69" s="25">
        <f>F69*AO69</f>
        <v>0</v>
      </c>
      <c r="BI69" s="25">
        <f>F69*AP69</f>
        <v>0</v>
      </c>
      <c r="BJ69" s="25">
        <f>F69*G69</f>
        <v>0</v>
      </c>
      <c r="BK69" s="25"/>
      <c r="BL69" s="25">
        <v>96</v>
      </c>
      <c r="BW69" s="25">
        <v>12</v>
      </c>
      <c r="BX69" s="5" t="s">
        <v>234</v>
      </c>
    </row>
    <row r="70" spans="1:76" x14ac:dyDescent="0.25">
      <c r="A70" s="2" t="s">
        <v>235</v>
      </c>
      <c r="B70" s="3" t="s">
        <v>236</v>
      </c>
      <c r="C70" s="79" t="s">
        <v>237</v>
      </c>
      <c r="D70" s="76"/>
      <c r="E70" s="3" t="s">
        <v>52</v>
      </c>
      <c r="F70" s="25">
        <v>4.2</v>
      </c>
      <c r="G70" s="69">
        <v>0</v>
      </c>
      <c r="H70" s="25">
        <f>F70*AO70</f>
        <v>0</v>
      </c>
      <c r="I70" s="25">
        <f>F70*AP70</f>
        <v>0</v>
      </c>
      <c r="J70" s="25">
        <f>F70*G70</f>
        <v>0</v>
      </c>
      <c r="K70" s="26" t="s">
        <v>53</v>
      </c>
      <c r="Z70" s="25">
        <f>IF(AQ70="5",BJ70,0)</f>
        <v>0</v>
      </c>
      <c r="AB70" s="25">
        <f>IF(AQ70="1",BH70,0)</f>
        <v>0</v>
      </c>
      <c r="AC70" s="25">
        <f>IF(AQ70="1",BI70,0)</f>
        <v>0</v>
      </c>
      <c r="AD70" s="25">
        <f>IF(AQ70="7",BH70,0)</f>
        <v>0</v>
      </c>
      <c r="AE70" s="25">
        <f>IF(AQ70="7",BI70,0)</f>
        <v>0</v>
      </c>
      <c r="AF70" s="25">
        <f>IF(AQ70="2",BH70,0)</f>
        <v>0</v>
      </c>
      <c r="AG70" s="25">
        <f>IF(AQ70="2",BI70,0)</f>
        <v>0</v>
      </c>
      <c r="AH70" s="25">
        <f>IF(AQ70="0",BJ70,0)</f>
        <v>0</v>
      </c>
      <c r="AI70" s="11" t="s">
        <v>46</v>
      </c>
      <c r="AJ70" s="25">
        <f>IF(AN70=0,J70,0)</f>
        <v>0</v>
      </c>
      <c r="AK70" s="25">
        <f>IF(AN70=12,J70,0)</f>
        <v>0</v>
      </c>
      <c r="AL70" s="25">
        <f>IF(AN70=21,J70,0)</f>
        <v>0</v>
      </c>
      <c r="AN70" s="25">
        <v>12</v>
      </c>
      <c r="AO70" s="25">
        <f>G70*0.081246358</f>
        <v>0</v>
      </c>
      <c r="AP70" s="25">
        <f>G70*(1-0.081246358)</f>
        <v>0</v>
      </c>
      <c r="AQ70" s="27" t="s">
        <v>49</v>
      </c>
      <c r="AV70" s="25">
        <f>AW70+AX70</f>
        <v>0</v>
      </c>
      <c r="AW70" s="25">
        <f>F70*AO70</f>
        <v>0</v>
      </c>
      <c r="AX70" s="25">
        <f>F70*AP70</f>
        <v>0</v>
      </c>
      <c r="AY70" s="27" t="s">
        <v>231</v>
      </c>
      <c r="AZ70" s="27" t="s">
        <v>197</v>
      </c>
      <c r="BA70" s="11" t="s">
        <v>56</v>
      </c>
      <c r="BC70" s="25">
        <f>AW70+AX70</f>
        <v>0</v>
      </c>
      <c r="BD70" s="25">
        <f>G70/(100-BE70)*100</f>
        <v>0</v>
      </c>
      <c r="BE70" s="25">
        <v>0</v>
      </c>
      <c r="BF70" s="25">
        <f>70</f>
        <v>70</v>
      </c>
      <c r="BH70" s="25">
        <f>F70*AO70</f>
        <v>0</v>
      </c>
      <c r="BI70" s="25">
        <f>F70*AP70</f>
        <v>0</v>
      </c>
      <c r="BJ70" s="25">
        <f>F70*G70</f>
        <v>0</v>
      </c>
      <c r="BK70" s="25"/>
      <c r="BL70" s="25">
        <v>96</v>
      </c>
      <c r="BW70" s="25">
        <v>12</v>
      </c>
      <c r="BX70" s="5" t="s">
        <v>237</v>
      </c>
    </row>
    <row r="71" spans="1:76" x14ac:dyDescent="0.25">
      <c r="A71" s="28" t="s">
        <v>46</v>
      </c>
      <c r="B71" s="29" t="s">
        <v>238</v>
      </c>
      <c r="C71" s="138" t="s">
        <v>239</v>
      </c>
      <c r="D71" s="139"/>
      <c r="E71" s="30" t="s">
        <v>4</v>
      </c>
      <c r="F71" s="30" t="s">
        <v>4</v>
      </c>
      <c r="G71" s="30" t="s">
        <v>4</v>
      </c>
      <c r="H71" s="1">
        <f>SUM(H72:H72)</f>
        <v>0</v>
      </c>
      <c r="I71" s="1">
        <f>SUM(I72:I72)</f>
        <v>0</v>
      </c>
      <c r="J71" s="1">
        <f>SUM(J72:J72)</f>
        <v>0</v>
      </c>
      <c r="K71" s="31" t="s">
        <v>46</v>
      </c>
      <c r="AI71" s="11" t="s">
        <v>46</v>
      </c>
      <c r="AS71" s="1">
        <f>SUM(AJ72:AJ72)</f>
        <v>0</v>
      </c>
      <c r="AT71" s="1">
        <f>SUM(AK72:AK72)</f>
        <v>0</v>
      </c>
      <c r="AU71" s="1">
        <f>SUM(AL72:AL72)</f>
        <v>0</v>
      </c>
    </row>
    <row r="72" spans="1:76" x14ac:dyDescent="0.25">
      <c r="A72" s="2" t="s">
        <v>240</v>
      </c>
      <c r="B72" s="3" t="s">
        <v>241</v>
      </c>
      <c r="C72" s="79" t="s">
        <v>242</v>
      </c>
      <c r="D72" s="76"/>
      <c r="E72" s="3" t="s">
        <v>110</v>
      </c>
      <c r="F72" s="25">
        <v>10.4</v>
      </c>
      <c r="G72" s="69">
        <v>0</v>
      </c>
      <c r="H72" s="25">
        <f>F72*AO72</f>
        <v>0</v>
      </c>
      <c r="I72" s="25">
        <f>F72*AP72</f>
        <v>0</v>
      </c>
      <c r="J72" s="25">
        <f>F72*G72</f>
        <v>0</v>
      </c>
      <c r="K72" s="26" t="s">
        <v>53</v>
      </c>
      <c r="Z72" s="25">
        <f>IF(AQ72="5",BJ72,0)</f>
        <v>0</v>
      </c>
      <c r="AB72" s="25">
        <f>IF(AQ72="1",BH72,0)</f>
        <v>0</v>
      </c>
      <c r="AC72" s="25">
        <f>IF(AQ72="1",BI72,0)</f>
        <v>0</v>
      </c>
      <c r="AD72" s="25">
        <f>IF(AQ72="7",BH72,0)</f>
        <v>0</v>
      </c>
      <c r="AE72" s="25">
        <f>IF(AQ72="7",BI72,0)</f>
        <v>0</v>
      </c>
      <c r="AF72" s="25">
        <f>IF(AQ72="2",BH72,0)</f>
        <v>0</v>
      </c>
      <c r="AG72" s="25">
        <f>IF(AQ72="2",BI72,0)</f>
        <v>0</v>
      </c>
      <c r="AH72" s="25">
        <f>IF(AQ72="0",BJ72,0)</f>
        <v>0</v>
      </c>
      <c r="AI72" s="11" t="s">
        <v>46</v>
      </c>
      <c r="AJ72" s="25">
        <f>IF(AN72=0,J72,0)</f>
        <v>0</v>
      </c>
      <c r="AK72" s="25">
        <f>IF(AN72=12,J72,0)</f>
        <v>0</v>
      </c>
      <c r="AL72" s="25">
        <f>IF(AN72=21,J72,0)</f>
        <v>0</v>
      </c>
      <c r="AN72" s="25">
        <v>12</v>
      </c>
      <c r="AO72" s="25">
        <f>G72*0.148994702</f>
        <v>0</v>
      </c>
      <c r="AP72" s="25">
        <f>G72*(1-0.148994702)</f>
        <v>0</v>
      </c>
      <c r="AQ72" s="27" t="s">
        <v>49</v>
      </c>
      <c r="AV72" s="25">
        <f>AW72+AX72</f>
        <v>0</v>
      </c>
      <c r="AW72" s="25">
        <f>F72*AO72</f>
        <v>0</v>
      </c>
      <c r="AX72" s="25">
        <f>F72*AP72</f>
        <v>0</v>
      </c>
      <c r="AY72" s="27" t="s">
        <v>243</v>
      </c>
      <c r="AZ72" s="27" t="s">
        <v>197</v>
      </c>
      <c r="BA72" s="11" t="s">
        <v>56</v>
      </c>
      <c r="BC72" s="25">
        <f>AW72+AX72</f>
        <v>0</v>
      </c>
      <c r="BD72" s="25">
        <f>G72/(100-BE72)*100</f>
        <v>0</v>
      </c>
      <c r="BE72" s="25">
        <v>0</v>
      </c>
      <c r="BF72" s="25">
        <f>72</f>
        <v>72</v>
      </c>
      <c r="BH72" s="25">
        <f>F72*AO72</f>
        <v>0</v>
      </c>
      <c r="BI72" s="25">
        <f>F72*AP72</f>
        <v>0</v>
      </c>
      <c r="BJ72" s="25">
        <f>F72*G72</f>
        <v>0</v>
      </c>
      <c r="BK72" s="25"/>
      <c r="BL72" s="25">
        <v>97</v>
      </c>
      <c r="BW72" s="25">
        <v>12</v>
      </c>
      <c r="BX72" s="5" t="s">
        <v>242</v>
      </c>
    </row>
    <row r="73" spans="1:76" x14ac:dyDescent="0.25">
      <c r="A73" s="28" t="s">
        <v>46</v>
      </c>
      <c r="B73" s="29" t="s">
        <v>244</v>
      </c>
      <c r="C73" s="138" t="s">
        <v>245</v>
      </c>
      <c r="D73" s="139"/>
      <c r="E73" s="30" t="s">
        <v>4</v>
      </c>
      <c r="F73" s="30" t="s">
        <v>4</v>
      </c>
      <c r="G73" s="30" t="s">
        <v>4</v>
      </c>
      <c r="H73" s="1">
        <f>SUM(H74:H74)</f>
        <v>0</v>
      </c>
      <c r="I73" s="1">
        <f>SUM(I74:I74)</f>
        <v>0</v>
      </c>
      <c r="J73" s="1">
        <f>SUM(J74:J74)</f>
        <v>0</v>
      </c>
      <c r="K73" s="31" t="s">
        <v>46</v>
      </c>
      <c r="AI73" s="11" t="s">
        <v>46</v>
      </c>
      <c r="AS73" s="1">
        <f>SUM(AJ74:AJ74)</f>
        <v>0</v>
      </c>
      <c r="AT73" s="1">
        <f>SUM(AK74:AK74)</f>
        <v>0</v>
      </c>
      <c r="AU73" s="1">
        <f>SUM(AL74:AL74)</f>
        <v>0</v>
      </c>
    </row>
    <row r="74" spans="1:76" x14ac:dyDescent="0.25">
      <c r="A74" s="2" t="s">
        <v>246</v>
      </c>
      <c r="B74" s="3" t="s">
        <v>247</v>
      </c>
      <c r="C74" s="79" t="s">
        <v>248</v>
      </c>
      <c r="D74" s="76"/>
      <c r="E74" s="3" t="s">
        <v>249</v>
      </c>
      <c r="F74" s="25">
        <v>0.88</v>
      </c>
      <c r="G74" s="69">
        <v>0</v>
      </c>
      <c r="H74" s="25">
        <f>F74*AO74</f>
        <v>0</v>
      </c>
      <c r="I74" s="25">
        <f>F74*AP74</f>
        <v>0</v>
      </c>
      <c r="J74" s="25">
        <f>F74*G74</f>
        <v>0</v>
      </c>
      <c r="K74" s="26" t="s">
        <v>53</v>
      </c>
      <c r="Z74" s="25">
        <f>IF(AQ74="5",BJ74,0)</f>
        <v>0</v>
      </c>
      <c r="AB74" s="25">
        <f>IF(AQ74="1",BH74,0)</f>
        <v>0</v>
      </c>
      <c r="AC74" s="25">
        <f>IF(AQ74="1",BI74,0)</f>
        <v>0</v>
      </c>
      <c r="AD74" s="25">
        <f>IF(AQ74="7",BH74,0)</f>
        <v>0</v>
      </c>
      <c r="AE74" s="25">
        <f>IF(AQ74="7",BI74,0)</f>
        <v>0</v>
      </c>
      <c r="AF74" s="25">
        <f>IF(AQ74="2",BH74,0)</f>
        <v>0</v>
      </c>
      <c r="AG74" s="25">
        <f>IF(AQ74="2",BI74,0)</f>
        <v>0</v>
      </c>
      <c r="AH74" s="25">
        <f>IF(AQ74="0",BJ74,0)</f>
        <v>0</v>
      </c>
      <c r="AI74" s="11" t="s">
        <v>46</v>
      </c>
      <c r="AJ74" s="25">
        <f>IF(AN74=0,J74,0)</f>
        <v>0</v>
      </c>
      <c r="AK74" s="25">
        <f>IF(AN74=12,J74,0)</f>
        <v>0</v>
      </c>
      <c r="AL74" s="25">
        <f>IF(AN74=21,J74,0)</f>
        <v>0</v>
      </c>
      <c r="AN74" s="25">
        <v>12</v>
      </c>
      <c r="AO74" s="25">
        <f>G74*0</f>
        <v>0</v>
      </c>
      <c r="AP74" s="25">
        <f>G74*(1-0)</f>
        <v>0</v>
      </c>
      <c r="AQ74" s="27" t="s">
        <v>70</v>
      </c>
      <c r="AV74" s="25">
        <f>AW74+AX74</f>
        <v>0</v>
      </c>
      <c r="AW74" s="25">
        <f>F74*AO74</f>
        <v>0</v>
      </c>
      <c r="AX74" s="25">
        <f>F74*AP74</f>
        <v>0</v>
      </c>
      <c r="AY74" s="27" t="s">
        <v>250</v>
      </c>
      <c r="AZ74" s="27" t="s">
        <v>197</v>
      </c>
      <c r="BA74" s="11" t="s">
        <v>56</v>
      </c>
      <c r="BC74" s="25">
        <f>AW74+AX74</f>
        <v>0</v>
      </c>
      <c r="BD74" s="25">
        <f>G74/(100-BE74)*100</f>
        <v>0</v>
      </c>
      <c r="BE74" s="25">
        <v>0</v>
      </c>
      <c r="BF74" s="25">
        <f>74</f>
        <v>74</v>
      </c>
      <c r="BH74" s="25">
        <f>F74*AO74</f>
        <v>0</v>
      </c>
      <c r="BI74" s="25">
        <f>F74*AP74</f>
        <v>0</v>
      </c>
      <c r="BJ74" s="25">
        <f>F74*G74</f>
        <v>0</v>
      </c>
      <c r="BK74" s="25"/>
      <c r="BL74" s="25"/>
      <c r="BW74" s="25">
        <v>12</v>
      </c>
      <c r="BX74" s="5" t="s">
        <v>248</v>
      </c>
    </row>
    <row r="75" spans="1:76" x14ac:dyDescent="0.25">
      <c r="A75" s="28" t="s">
        <v>46</v>
      </c>
      <c r="B75" s="29" t="s">
        <v>251</v>
      </c>
      <c r="C75" s="138" t="s">
        <v>252</v>
      </c>
      <c r="D75" s="139"/>
      <c r="E75" s="30" t="s">
        <v>4</v>
      </c>
      <c r="F75" s="30" t="s">
        <v>4</v>
      </c>
      <c r="G75" s="30" t="s">
        <v>4</v>
      </c>
      <c r="H75" s="1">
        <f>SUM(H76:H82)</f>
        <v>0</v>
      </c>
      <c r="I75" s="1">
        <f>SUM(I76:I82)</f>
        <v>0</v>
      </c>
      <c r="J75" s="1">
        <f>SUM(J76:J82)</f>
        <v>0</v>
      </c>
      <c r="K75" s="31" t="s">
        <v>46</v>
      </c>
      <c r="AI75" s="11" t="s">
        <v>46</v>
      </c>
      <c r="AS75" s="1">
        <f>SUM(AJ76:AJ82)</f>
        <v>0</v>
      </c>
      <c r="AT75" s="1">
        <f>SUM(AK76:AK82)</f>
        <v>0</v>
      </c>
      <c r="AU75" s="1">
        <f>SUM(AL76:AL82)</f>
        <v>0</v>
      </c>
    </row>
    <row r="76" spans="1:76" x14ac:dyDescent="0.25">
      <c r="A76" s="2" t="s">
        <v>253</v>
      </c>
      <c r="B76" s="3" t="s">
        <v>254</v>
      </c>
      <c r="C76" s="79" t="s">
        <v>255</v>
      </c>
      <c r="D76" s="76"/>
      <c r="E76" s="3" t="s">
        <v>249</v>
      </c>
      <c r="F76" s="25">
        <v>10.55</v>
      </c>
      <c r="G76" s="69">
        <v>0</v>
      </c>
      <c r="H76" s="25">
        <f t="shared" ref="H76:H82" si="44">F76*AO76</f>
        <v>0</v>
      </c>
      <c r="I76" s="25">
        <f t="shared" ref="I76:I82" si="45">F76*AP76</f>
        <v>0</v>
      </c>
      <c r="J76" s="25">
        <f t="shared" ref="J76:J82" si="46">F76*G76</f>
        <v>0</v>
      </c>
      <c r="K76" s="26" t="s">
        <v>53</v>
      </c>
      <c r="Z76" s="25">
        <f t="shared" ref="Z76:Z82" si="47">IF(AQ76="5",BJ76,0)</f>
        <v>0</v>
      </c>
      <c r="AB76" s="25">
        <f t="shared" ref="AB76:AB82" si="48">IF(AQ76="1",BH76,0)</f>
        <v>0</v>
      </c>
      <c r="AC76" s="25">
        <f t="shared" ref="AC76:AC82" si="49">IF(AQ76="1",BI76,0)</f>
        <v>0</v>
      </c>
      <c r="AD76" s="25">
        <f t="shared" ref="AD76:AD82" si="50">IF(AQ76="7",BH76,0)</f>
        <v>0</v>
      </c>
      <c r="AE76" s="25">
        <f t="shared" ref="AE76:AE82" si="51">IF(AQ76="7",BI76,0)</f>
        <v>0</v>
      </c>
      <c r="AF76" s="25">
        <f t="shared" ref="AF76:AF82" si="52">IF(AQ76="2",BH76,0)</f>
        <v>0</v>
      </c>
      <c r="AG76" s="25">
        <f t="shared" ref="AG76:AG82" si="53">IF(AQ76="2",BI76,0)</f>
        <v>0</v>
      </c>
      <c r="AH76" s="25">
        <f t="shared" ref="AH76:AH82" si="54">IF(AQ76="0",BJ76,0)</f>
        <v>0</v>
      </c>
      <c r="AI76" s="11" t="s">
        <v>46</v>
      </c>
      <c r="AJ76" s="25">
        <f t="shared" ref="AJ76:AJ82" si="55">IF(AN76=0,J76,0)</f>
        <v>0</v>
      </c>
      <c r="AK76" s="25">
        <f t="shared" ref="AK76:AK82" si="56">IF(AN76=12,J76,0)</f>
        <v>0</v>
      </c>
      <c r="AL76" s="25">
        <f t="shared" ref="AL76:AL82" si="57">IF(AN76=21,J76,0)</f>
        <v>0</v>
      </c>
      <c r="AN76" s="25">
        <v>12</v>
      </c>
      <c r="AO76" s="25">
        <f t="shared" ref="AO76:AO82" si="58">G76*0</f>
        <v>0</v>
      </c>
      <c r="AP76" s="25">
        <f t="shared" ref="AP76:AP82" si="59">G76*(1-0)</f>
        <v>0</v>
      </c>
      <c r="AQ76" s="27" t="s">
        <v>70</v>
      </c>
      <c r="AV76" s="25">
        <f t="shared" ref="AV76:AV82" si="60">AW76+AX76</f>
        <v>0</v>
      </c>
      <c r="AW76" s="25">
        <f t="shared" ref="AW76:AW82" si="61">F76*AO76</f>
        <v>0</v>
      </c>
      <c r="AX76" s="25">
        <f t="shared" ref="AX76:AX82" si="62">F76*AP76</f>
        <v>0</v>
      </c>
      <c r="AY76" s="27" t="s">
        <v>256</v>
      </c>
      <c r="AZ76" s="27" t="s">
        <v>197</v>
      </c>
      <c r="BA76" s="11" t="s">
        <v>56</v>
      </c>
      <c r="BC76" s="25">
        <f t="shared" ref="BC76:BC82" si="63">AW76+AX76</f>
        <v>0</v>
      </c>
      <c r="BD76" s="25">
        <f t="shared" ref="BD76:BD82" si="64">G76/(100-BE76)*100</f>
        <v>0</v>
      </c>
      <c r="BE76" s="25">
        <v>0</v>
      </c>
      <c r="BF76" s="25">
        <f>76</f>
        <v>76</v>
      </c>
      <c r="BH76" s="25">
        <f t="shared" ref="BH76:BH82" si="65">F76*AO76</f>
        <v>0</v>
      </c>
      <c r="BI76" s="25">
        <f t="shared" ref="BI76:BI82" si="66">F76*AP76</f>
        <v>0</v>
      </c>
      <c r="BJ76" s="25">
        <f t="shared" ref="BJ76:BJ82" si="67">F76*G76</f>
        <v>0</v>
      </c>
      <c r="BK76" s="25"/>
      <c r="BL76" s="25"/>
      <c r="BW76" s="25">
        <v>12</v>
      </c>
      <c r="BX76" s="5" t="s">
        <v>255</v>
      </c>
    </row>
    <row r="77" spans="1:76" x14ac:dyDescent="0.25">
      <c r="A77" s="2" t="s">
        <v>257</v>
      </c>
      <c r="B77" s="3" t="s">
        <v>258</v>
      </c>
      <c r="C77" s="79" t="s">
        <v>259</v>
      </c>
      <c r="D77" s="76"/>
      <c r="E77" s="3" t="s">
        <v>249</v>
      </c>
      <c r="F77" s="25">
        <v>369.25</v>
      </c>
      <c r="G77" s="69">
        <v>0</v>
      </c>
      <c r="H77" s="25">
        <f t="shared" si="44"/>
        <v>0</v>
      </c>
      <c r="I77" s="25">
        <f t="shared" si="45"/>
        <v>0</v>
      </c>
      <c r="J77" s="25">
        <f t="shared" si="46"/>
        <v>0</v>
      </c>
      <c r="K77" s="26" t="s">
        <v>53</v>
      </c>
      <c r="Z77" s="25">
        <f t="shared" si="47"/>
        <v>0</v>
      </c>
      <c r="AB77" s="25">
        <f t="shared" si="48"/>
        <v>0</v>
      </c>
      <c r="AC77" s="25">
        <f t="shared" si="49"/>
        <v>0</v>
      </c>
      <c r="AD77" s="25">
        <f t="shared" si="50"/>
        <v>0</v>
      </c>
      <c r="AE77" s="25">
        <f t="shared" si="51"/>
        <v>0</v>
      </c>
      <c r="AF77" s="25">
        <f t="shared" si="52"/>
        <v>0</v>
      </c>
      <c r="AG77" s="25">
        <f t="shared" si="53"/>
        <v>0</v>
      </c>
      <c r="AH77" s="25">
        <f t="shared" si="54"/>
        <v>0</v>
      </c>
      <c r="AI77" s="11" t="s">
        <v>46</v>
      </c>
      <c r="AJ77" s="25">
        <f t="shared" si="55"/>
        <v>0</v>
      </c>
      <c r="AK77" s="25">
        <f t="shared" si="56"/>
        <v>0</v>
      </c>
      <c r="AL77" s="25">
        <f t="shared" si="57"/>
        <v>0</v>
      </c>
      <c r="AN77" s="25">
        <v>12</v>
      </c>
      <c r="AO77" s="25">
        <f t="shared" si="58"/>
        <v>0</v>
      </c>
      <c r="AP77" s="25">
        <f t="shared" si="59"/>
        <v>0</v>
      </c>
      <c r="AQ77" s="27" t="s">
        <v>70</v>
      </c>
      <c r="AV77" s="25">
        <f t="shared" si="60"/>
        <v>0</v>
      </c>
      <c r="AW77" s="25">
        <f t="shared" si="61"/>
        <v>0</v>
      </c>
      <c r="AX77" s="25">
        <f t="shared" si="62"/>
        <v>0</v>
      </c>
      <c r="AY77" s="27" t="s">
        <v>256</v>
      </c>
      <c r="AZ77" s="27" t="s">
        <v>197</v>
      </c>
      <c r="BA77" s="11" t="s">
        <v>56</v>
      </c>
      <c r="BC77" s="25">
        <f t="shared" si="63"/>
        <v>0</v>
      </c>
      <c r="BD77" s="25">
        <f t="shared" si="64"/>
        <v>0</v>
      </c>
      <c r="BE77" s="25">
        <v>0</v>
      </c>
      <c r="BF77" s="25">
        <f>77</f>
        <v>77</v>
      </c>
      <c r="BH77" s="25">
        <f t="shared" si="65"/>
        <v>0</v>
      </c>
      <c r="BI77" s="25">
        <f t="shared" si="66"/>
        <v>0</v>
      </c>
      <c r="BJ77" s="25">
        <f t="shared" si="67"/>
        <v>0</v>
      </c>
      <c r="BK77" s="25"/>
      <c r="BL77" s="25"/>
      <c r="BW77" s="25">
        <v>12</v>
      </c>
      <c r="BX77" s="5" t="s">
        <v>259</v>
      </c>
    </row>
    <row r="78" spans="1:76" x14ac:dyDescent="0.25">
      <c r="A78" s="2" t="s">
        <v>260</v>
      </c>
      <c r="B78" s="3" t="s">
        <v>261</v>
      </c>
      <c r="C78" s="79" t="s">
        <v>262</v>
      </c>
      <c r="D78" s="76"/>
      <c r="E78" s="3" t="s">
        <v>249</v>
      </c>
      <c r="F78" s="25">
        <v>10.55</v>
      </c>
      <c r="G78" s="69">
        <v>0</v>
      </c>
      <c r="H78" s="25">
        <f t="shared" si="44"/>
        <v>0</v>
      </c>
      <c r="I78" s="25">
        <f t="shared" si="45"/>
        <v>0</v>
      </c>
      <c r="J78" s="25">
        <f t="shared" si="46"/>
        <v>0</v>
      </c>
      <c r="K78" s="26" t="s">
        <v>53</v>
      </c>
      <c r="Z78" s="25">
        <f t="shared" si="47"/>
        <v>0</v>
      </c>
      <c r="AB78" s="25">
        <f t="shared" si="48"/>
        <v>0</v>
      </c>
      <c r="AC78" s="25">
        <f t="shared" si="49"/>
        <v>0</v>
      </c>
      <c r="AD78" s="25">
        <f t="shared" si="50"/>
        <v>0</v>
      </c>
      <c r="AE78" s="25">
        <f t="shared" si="51"/>
        <v>0</v>
      </c>
      <c r="AF78" s="25">
        <f t="shared" si="52"/>
        <v>0</v>
      </c>
      <c r="AG78" s="25">
        <f t="shared" si="53"/>
        <v>0</v>
      </c>
      <c r="AH78" s="25">
        <f t="shared" si="54"/>
        <v>0</v>
      </c>
      <c r="AI78" s="11" t="s">
        <v>46</v>
      </c>
      <c r="AJ78" s="25">
        <f t="shared" si="55"/>
        <v>0</v>
      </c>
      <c r="AK78" s="25">
        <f t="shared" si="56"/>
        <v>0</v>
      </c>
      <c r="AL78" s="25">
        <f t="shared" si="57"/>
        <v>0</v>
      </c>
      <c r="AN78" s="25">
        <v>12</v>
      </c>
      <c r="AO78" s="25">
        <f t="shared" si="58"/>
        <v>0</v>
      </c>
      <c r="AP78" s="25">
        <f t="shared" si="59"/>
        <v>0</v>
      </c>
      <c r="AQ78" s="27" t="s">
        <v>70</v>
      </c>
      <c r="AV78" s="25">
        <f t="shared" si="60"/>
        <v>0</v>
      </c>
      <c r="AW78" s="25">
        <f t="shared" si="61"/>
        <v>0</v>
      </c>
      <c r="AX78" s="25">
        <f t="shared" si="62"/>
        <v>0</v>
      </c>
      <c r="AY78" s="27" t="s">
        <v>256</v>
      </c>
      <c r="AZ78" s="27" t="s">
        <v>197</v>
      </c>
      <c r="BA78" s="11" t="s">
        <v>56</v>
      </c>
      <c r="BC78" s="25">
        <f t="shared" si="63"/>
        <v>0</v>
      </c>
      <c r="BD78" s="25">
        <f t="shared" si="64"/>
        <v>0</v>
      </c>
      <c r="BE78" s="25">
        <v>0</v>
      </c>
      <c r="BF78" s="25">
        <f>78</f>
        <v>78</v>
      </c>
      <c r="BH78" s="25">
        <f t="shared" si="65"/>
        <v>0</v>
      </c>
      <c r="BI78" s="25">
        <f t="shared" si="66"/>
        <v>0</v>
      </c>
      <c r="BJ78" s="25">
        <f t="shared" si="67"/>
        <v>0</v>
      </c>
      <c r="BK78" s="25"/>
      <c r="BL78" s="25"/>
      <c r="BW78" s="25">
        <v>12</v>
      </c>
      <c r="BX78" s="5" t="s">
        <v>262</v>
      </c>
    </row>
    <row r="79" spans="1:76" x14ac:dyDescent="0.25">
      <c r="A79" s="2" t="s">
        <v>263</v>
      </c>
      <c r="B79" s="3" t="s">
        <v>264</v>
      </c>
      <c r="C79" s="79" t="s">
        <v>265</v>
      </c>
      <c r="D79" s="76"/>
      <c r="E79" s="3" t="s">
        <v>249</v>
      </c>
      <c r="F79" s="25">
        <v>10.55</v>
      </c>
      <c r="G79" s="69">
        <v>0</v>
      </c>
      <c r="H79" s="25">
        <f t="shared" si="44"/>
        <v>0</v>
      </c>
      <c r="I79" s="25">
        <f t="shared" si="45"/>
        <v>0</v>
      </c>
      <c r="J79" s="25">
        <f t="shared" si="46"/>
        <v>0</v>
      </c>
      <c r="K79" s="26" t="s">
        <v>53</v>
      </c>
      <c r="Z79" s="25">
        <f t="shared" si="47"/>
        <v>0</v>
      </c>
      <c r="AB79" s="25">
        <f t="shared" si="48"/>
        <v>0</v>
      </c>
      <c r="AC79" s="25">
        <f t="shared" si="49"/>
        <v>0</v>
      </c>
      <c r="AD79" s="25">
        <f t="shared" si="50"/>
        <v>0</v>
      </c>
      <c r="AE79" s="25">
        <f t="shared" si="51"/>
        <v>0</v>
      </c>
      <c r="AF79" s="25">
        <f t="shared" si="52"/>
        <v>0</v>
      </c>
      <c r="AG79" s="25">
        <f t="shared" si="53"/>
        <v>0</v>
      </c>
      <c r="AH79" s="25">
        <f t="shared" si="54"/>
        <v>0</v>
      </c>
      <c r="AI79" s="11" t="s">
        <v>46</v>
      </c>
      <c r="AJ79" s="25">
        <f t="shared" si="55"/>
        <v>0</v>
      </c>
      <c r="AK79" s="25">
        <f t="shared" si="56"/>
        <v>0</v>
      </c>
      <c r="AL79" s="25">
        <f t="shared" si="57"/>
        <v>0</v>
      </c>
      <c r="AN79" s="25">
        <v>12</v>
      </c>
      <c r="AO79" s="25">
        <f t="shared" si="58"/>
        <v>0</v>
      </c>
      <c r="AP79" s="25">
        <f t="shared" si="59"/>
        <v>0</v>
      </c>
      <c r="AQ79" s="27" t="s">
        <v>70</v>
      </c>
      <c r="AV79" s="25">
        <f t="shared" si="60"/>
        <v>0</v>
      </c>
      <c r="AW79" s="25">
        <f t="shared" si="61"/>
        <v>0</v>
      </c>
      <c r="AX79" s="25">
        <f t="shared" si="62"/>
        <v>0</v>
      </c>
      <c r="AY79" s="27" t="s">
        <v>256</v>
      </c>
      <c r="AZ79" s="27" t="s">
        <v>197</v>
      </c>
      <c r="BA79" s="11" t="s">
        <v>56</v>
      </c>
      <c r="BC79" s="25">
        <f t="shared" si="63"/>
        <v>0</v>
      </c>
      <c r="BD79" s="25">
        <f t="shared" si="64"/>
        <v>0</v>
      </c>
      <c r="BE79" s="25">
        <v>0</v>
      </c>
      <c r="BF79" s="25">
        <f>79</f>
        <v>79</v>
      </c>
      <c r="BH79" s="25">
        <f t="shared" si="65"/>
        <v>0</v>
      </c>
      <c r="BI79" s="25">
        <f t="shared" si="66"/>
        <v>0</v>
      </c>
      <c r="BJ79" s="25">
        <f t="shared" si="67"/>
        <v>0</v>
      </c>
      <c r="BK79" s="25"/>
      <c r="BL79" s="25"/>
      <c r="BW79" s="25">
        <v>12</v>
      </c>
      <c r="BX79" s="5" t="s">
        <v>265</v>
      </c>
    </row>
    <row r="80" spans="1:76" x14ac:dyDescent="0.25">
      <c r="A80" s="2" t="s">
        <v>266</v>
      </c>
      <c r="B80" s="3" t="s">
        <v>267</v>
      </c>
      <c r="C80" s="79" t="s">
        <v>268</v>
      </c>
      <c r="D80" s="76"/>
      <c r="E80" s="3" t="s">
        <v>249</v>
      </c>
      <c r="F80" s="25">
        <v>52.75</v>
      </c>
      <c r="G80" s="69">
        <v>0</v>
      </c>
      <c r="H80" s="25">
        <f t="shared" si="44"/>
        <v>0</v>
      </c>
      <c r="I80" s="25">
        <f t="shared" si="45"/>
        <v>0</v>
      </c>
      <c r="J80" s="25">
        <f t="shared" si="46"/>
        <v>0</v>
      </c>
      <c r="K80" s="26" t="s">
        <v>53</v>
      </c>
      <c r="Z80" s="25">
        <f t="shared" si="47"/>
        <v>0</v>
      </c>
      <c r="AB80" s="25">
        <f t="shared" si="48"/>
        <v>0</v>
      </c>
      <c r="AC80" s="25">
        <f t="shared" si="49"/>
        <v>0</v>
      </c>
      <c r="AD80" s="25">
        <f t="shared" si="50"/>
        <v>0</v>
      </c>
      <c r="AE80" s="25">
        <f t="shared" si="51"/>
        <v>0</v>
      </c>
      <c r="AF80" s="25">
        <f t="shared" si="52"/>
        <v>0</v>
      </c>
      <c r="AG80" s="25">
        <f t="shared" si="53"/>
        <v>0</v>
      </c>
      <c r="AH80" s="25">
        <f t="shared" si="54"/>
        <v>0</v>
      </c>
      <c r="AI80" s="11" t="s">
        <v>46</v>
      </c>
      <c r="AJ80" s="25">
        <f t="shared" si="55"/>
        <v>0</v>
      </c>
      <c r="AK80" s="25">
        <f t="shared" si="56"/>
        <v>0</v>
      </c>
      <c r="AL80" s="25">
        <f t="shared" si="57"/>
        <v>0</v>
      </c>
      <c r="AN80" s="25">
        <v>12</v>
      </c>
      <c r="AO80" s="25">
        <f t="shared" si="58"/>
        <v>0</v>
      </c>
      <c r="AP80" s="25">
        <f t="shared" si="59"/>
        <v>0</v>
      </c>
      <c r="AQ80" s="27" t="s">
        <v>70</v>
      </c>
      <c r="AV80" s="25">
        <f t="shared" si="60"/>
        <v>0</v>
      </c>
      <c r="AW80" s="25">
        <f t="shared" si="61"/>
        <v>0</v>
      </c>
      <c r="AX80" s="25">
        <f t="shared" si="62"/>
        <v>0</v>
      </c>
      <c r="AY80" s="27" t="s">
        <v>256</v>
      </c>
      <c r="AZ80" s="27" t="s">
        <v>197</v>
      </c>
      <c r="BA80" s="11" t="s">
        <v>56</v>
      </c>
      <c r="BC80" s="25">
        <f t="shared" si="63"/>
        <v>0</v>
      </c>
      <c r="BD80" s="25">
        <f t="shared" si="64"/>
        <v>0</v>
      </c>
      <c r="BE80" s="25">
        <v>0</v>
      </c>
      <c r="BF80" s="25">
        <f>80</f>
        <v>80</v>
      </c>
      <c r="BH80" s="25">
        <f t="shared" si="65"/>
        <v>0</v>
      </c>
      <c r="BI80" s="25">
        <f t="shared" si="66"/>
        <v>0</v>
      </c>
      <c r="BJ80" s="25">
        <f t="shared" si="67"/>
        <v>0</v>
      </c>
      <c r="BK80" s="25"/>
      <c r="BL80" s="25"/>
      <c r="BW80" s="25">
        <v>12</v>
      </c>
      <c r="BX80" s="5" t="s">
        <v>268</v>
      </c>
    </row>
    <row r="81" spans="1:76" x14ac:dyDescent="0.25">
      <c r="A81" s="2" t="s">
        <v>269</v>
      </c>
      <c r="B81" s="3" t="s">
        <v>270</v>
      </c>
      <c r="C81" s="79" t="s">
        <v>271</v>
      </c>
      <c r="D81" s="76"/>
      <c r="E81" s="3" t="s">
        <v>249</v>
      </c>
      <c r="F81" s="25">
        <v>10.55</v>
      </c>
      <c r="G81" s="69">
        <v>0</v>
      </c>
      <c r="H81" s="25">
        <f t="shared" si="44"/>
        <v>0</v>
      </c>
      <c r="I81" s="25">
        <f t="shared" si="45"/>
        <v>0</v>
      </c>
      <c r="J81" s="25">
        <f t="shared" si="46"/>
        <v>0</v>
      </c>
      <c r="K81" s="26" t="s">
        <v>53</v>
      </c>
      <c r="Z81" s="25">
        <f t="shared" si="47"/>
        <v>0</v>
      </c>
      <c r="AB81" s="25">
        <f t="shared" si="48"/>
        <v>0</v>
      </c>
      <c r="AC81" s="25">
        <f t="shared" si="49"/>
        <v>0</v>
      </c>
      <c r="AD81" s="25">
        <f t="shared" si="50"/>
        <v>0</v>
      </c>
      <c r="AE81" s="25">
        <f t="shared" si="51"/>
        <v>0</v>
      </c>
      <c r="AF81" s="25">
        <f t="shared" si="52"/>
        <v>0</v>
      </c>
      <c r="AG81" s="25">
        <f t="shared" si="53"/>
        <v>0</v>
      </c>
      <c r="AH81" s="25">
        <f t="shared" si="54"/>
        <v>0</v>
      </c>
      <c r="AI81" s="11" t="s">
        <v>46</v>
      </c>
      <c r="AJ81" s="25">
        <f t="shared" si="55"/>
        <v>0</v>
      </c>
      <c r="AK81" s="25">
        <f t="shared" si="56"/>
        <v>0</v>
      </c>
      <c r="AL81" s="25">
        <f t="shared" si="57"/>
        <v>0</v>
      </c>
      <c r="AN81" s="25">
        <v>12</v>
      </c>
      <c r="AO81" s="25">
        <f t="shared" si="58"/>
        <v>0</v>
      </c>
      <c r="AP81" s="25">
        <f t="shared" si="59"/>
        <v>0</v>
      </c>
      <c r="AQ81" s="27" t="s">
        <v>70</v>
      </c>
      <c r="AV81" s="25">
        <f t="shared" si="60"/>
        <v>0</v>
      </c>
      <c r="AW81" s="25">
        <f t="shared" si="61"/>
        <v>0</v>
      </c>
      <c r="AX81" s="25">
        <f t="shared" si="62"/>
        <v>0</v>
      </c>
      <c r="AY81" s="27" t="s">
        <v>256</v>
      </c>
      <c r="AZ81" s="27" t="s">
        <v>197</v>
      </c>
      <c r="BA81" s="11" t="s">
        <v>56</v>
      </c>
      <c r="BC81" s="25">
        <f t="shared" si="63"/>
        <v>0</v>
      </c>
      <c r="BD81" s="25">
        <f t="shared" si="64"/>
        <v>0</v>
      </c>
      <c r="BE81" s="25">
        <v>0</v>
      </c>
      <c r="BF81" s="25">
        <f>81</f>
        <v>81</v>
      </c>
      <c r="BH81" s="25">
        <f t="shared" si="65"/>
        <v>0</v>
      </c>
      <c r="BI81" s="25">
        <f t="shared" si="66"/>
        <v>0</v>
      </c>
      <c r="BJ81" s="25">
        <f t="shared" si="67"/>
        <v>0</v>
      </c>
      <c r="BK81" s="25"/>
      <c r="BL81" s="25"/>
      <c r="BW81" s="25">
        <v>12</v>
      </c>
      <c r="BX81" s="5" t="s">
        <v>271</v>
      </c>
    </row>
    <row r="82" spans="1:76" x14ac:dyDescent="0.25">
      <c r="A82" s="2" t="s">
        <v>272</v>
      </c>
      <c r="B82" s="3" t="s">
        <v>273</v>
      </c>
      <c r="C82" s="79" t="s">
        <v>274</v>
      </c>
      <c r="D82" s="76"/>
      <c r="E82" s="3" t="s">
        <v>249</v>
      </c>
      <c r="F82" s="25">
        <v>21.1</v>
      </c>
      <c r="G82" s="69">
        <v>0</v>
      </c>
      <c r="H82" s="25">
        <f t="shared" si="44"/>
        <v>0</v>
      </c>
      <c r="I82" s="25">
        <f t="shared" si="45"/>
        <v>0</v>
      </c>
      <c r="J82" s="25">
        <f t="shared" si="46"/>
        <v>0</v>
      </c>
      <c r="K82" s="26" t="s">
        <v>53</v>
      </c>
      <c r="Z82" s="25">
        <f t="shared" si="47"/>
        <v>0</v>
      </c>
      <c r="AB82" s="25">
        <f t="shared" si="48"/>
        <v>0</v>
      </c>
      <c r="AC82" s="25">
        <f t="shared" si="49"/>
        <v>0</v>
      </c>
      <c r="AD82" s="25">
        <f t="shared" si="50"/>
        <v>0</v>
      </c>
      <c r="AE82" s="25">
        <f t="shared" si="51"/>
        <v>0</v>
      </c>
      <c r="AF82" s="25">
        <f t="shared" si="52"/>
        <v>0</v>
      </c>
      <c r="AG82" s="25">
        <f t="shared" si="53"/>
        <v>0</v>
      </c>
      <c r="AH82" s="25">
        <f t="shared" si="54"/>
        <v>0</v>
      </c>
      <c r="AI82" s="11" t="s">
        <v>46</v>
      </c>
      <c r="AJ82" s="25">
        <f t="shared" si="55"/>
        <v>0</v>
      </c>
      <c r="AK82" s="25">
        <f t="shared" si="56"/>
        <v>0</v>
      </c>
      <c r="AL82" s="25">
        <f t="shared" si="57"/>
        <v>0</v>
      </c>
      <c r="AN82" s="25">
        <v>12</v>
      </c>
      <c r="AO82" s="25">
        <f t="shared" si="58"/>
        <v>0</v>
      </c>
      <c r="AP82" s="25">
        <f t="shared" si="59"/>
        <v>0</v>
      </c>
      <c r="AQ82" s="27" t="s">
        <v>70</v>
      </c>
      <c r="AV82" s="25">
        <f t="shared" si="60"/>
        <v>0</v>
      </c>
      <c r="AW82" s="25">
        <f t="shared" si="61"/>
        <v>0</v>
      </c>
      <c r="AX82" s="25">
        <f t="shared" si="62"/>
        <v>0</v>
      </c>
      <c r="AY82" s="27" t="s">
        <v>256</v>
      </c>
      <c r="AZ82" s="27" t="s">
        <v>197</v>
      </c>
      <c r="BA82" s="11" t="s">
        <v>56</v>
      </c>
      <c r="BC82" s="25">
        <f t="shared" si="63"/>
        <v>0</v>
      </c>
      <c r="BD82" s="25">
        <f t="shared" si="64"/>
        <v>0</v>
      </c>
      <c r="BE82" s="25">
        <v>0</v>
      </c>
      <c r="BF82" s="25">
        <f>82</f>
        <v>82</v>
      </c>
      <c r="BH82" s="25">
        <f t="shared" si="65"/>
        <v>0</v>
      </c>
      <c r="BI82" s="25">
        <f t="shared" si="66"/>
        <v>0</v>
      </c>
      <c r="BJ82" s="25">
        <f t="shared" si="67"/>
        <v>0</v>
      </c>
      <c r="BK82" s="25"/>
      <c r="BL82" s="25"/>
      <c r="BW82" s="25">
        <v>12</v>
      </c>
      <c r="BX82" s="5" t="s">
        <v>274</v>
      </c>
    </row>
    <row r="83" spans="1:76" x14ac:dyDescent="0.25">
      <c r="A83" s="28" t="s">
        <v>46</v>
      </c>
      <c r="B83" s="29" t="s">
        <v>275</v>
      </c>
      <c r="C83" s="138" t="s">
        <v>276</v>
      </c>
      <c r="D83" s="139"/>
      <c r="E83" s="30" t="s">
        <v>4</v>
      </c>
      <c r="F83" s="30" t="s">
        <v>4</v>
      </c>
      <c r="G83" s="30" t="s">
        <v>4</v>
      </c>
      <c r="H83" s="1">
        <f>H84</f>
        <v>0</v>
      </c>
      <c r="I83" s="1">
        <f>I84</f>
        <v>0</v>
      </c>
      <c r="J83" s="1">
        <f>J84</f>
        <v>0</v>
      </c>
      <c r="K83" s="31" t="s">
        <v>46</v>
      </c>
      <c r="AI83" s="11" t="s">
        <v>46</v>
      </c>
    </row>
    <row r="84" spans="1:76" x14ac:dyDescent="0.25">
      <c r="A84" s="28" t="s">
        <v>46</v>
      </c>
      <c r="B84" s="29" t="s">
        <v>277</v>
      </c>
      <c r="C84" s="138" t="s">
        <v>278</v>
      </c>
      <c r="D84" s="139"/>
      <c r="E84" s="30" t="s">
        <v>4</v>
      </c>
      <c r="F84" s="30" t="s">
        <v>4</v>
      </c>
      <c r="G84" s="30" t="s">
        <v>4</v>
      </c>
      <c r="H84" s="1">
        <f>SUM(H85:H88)</f>
        <v>0</v>
      </c>
      <c r="I84" s="1">
        <f>SUM(I85:I88)</f>
        <v>0</v>
      </c>
      <c r="J84" s="1">
        <f>SUM(J85:J88)</f>
        <v>0</v>
      </c>
      <c r="K84" s="31" t="s">
        <v>46</v>
      </c>
      <c r="AI84" s="11" t="s">
        <v>46</v>
      </c>
      <c r="AS84" s="1">
        <f>SUM(AJ85:AJ88)</f>
        <v>0</v>
      </c>
      <c r="AT84" s="1">
        <f>SUM(AK85:AK88)</f>
        <v>0</v>
      </c>
      <c r="AU84" s="1">
        <f>SUM(AL85:AL88)</f>
        <v>0</v>
      </c>
    </row>
    <row r="85" spans="1:76" x14ac:dyDescent="0.25">
      <c r="A85" s="2" t="s">
        <v>279</v>
      </c>
      <c r="B85" s="3" t="s">
        <v>280</v>
      </c>
      <c r="C85" s="79" t="s">
        <v>278</v>
      </c>
      <c r="D85" s="76"/>
      <c r="E85" s="3" t="s">
        <v>281</v>
      </c>
      <c r="F85" s="25">
        <v>1</v>
      </c>
      <c r="G85" s="69">
        <v>0</v>
      </c>
      <c r="H85" s="25">
        <f>F85*AO85</f>
        <v>0</v>
      </c>
      <c r="I85" s="25">
        <f>F85*AP85</f>
        <v>0</v>
      </c>
      <c r="J85" s="25">
        <f>F85*G85</f>
        <v>0</v>
      </c>
      <c r="K85" s="26" t="s">
        <v>53</v>
      </c>
      <c r="Z85" s="25">
        <f>IF(AQ85="5",BJ85,0)</f>
        <v>0</v>
      </c>
      <c r="AB85" s="25">
        <f>IF(AQ85="1",BH85,0)</f>
        <v>0</v>
      </c>
      <c r="AC85" s="25">
        <f>IF(AQ85="1",BI85,0)</f>
        <v>0</v>
      </c>
      <c r="AD85" s="25">
        <f>IF(AQ85="7",BH85,0)</f>
        <v>0</v>
      </c>
      <c r="AE85" s="25">
        <f>IF(AQ85="7",BI85,0)</f>
        <v>0</v>
      </c>
      <c r="AF85" s="25">
        <f>IF(AQ85="2",BH85,0)</f>
        <v>0</v>
      </c>
      <c r="AG85" s="25">
        <f>IF(AQ85="2",BI85,0)</f>
        <v>0</v>
      </c>
      <c r="AH85" s="25">
        <f>IF(AQ85="0",BJ85,0)</f>
        <v>0</v>
      </c>
      <c r="AI85" s="11" t="s">
        <v>46</v>
      </c>
      <c r="AJ85" s="25">
        <f>IF(AN85=0,J85,0)</f>
        <v>0</v>
      </c>
      <c r="AK85" s="25">
        <f>IF(AN85=12,J85,0)</f>
        <v>0</v>
      </c>
      <c r="AL85" s="25">
        <f>IF(AN85=21,J85,0)</f>
        <v>0</v>
      </c>
      <c r="AN85" s="25">
        <v>12</v>
      </c>
      <c r="AO85" s="25">
        <f>G85*0</f>
        <v>0</v>
      </c>
      <c r="AP85" s="25">
        <f>G85*(1-0)</f>
        <v>0</v>
      </c>
      <c r="AQ85" s="27" t="s">
        <v>282</v>
      </c>
      <c r="AV85" s="25">
        <f>AW85+AX85</f>
        <v>0</v>
      </c>
      <c r="AW85" s="25">
        <f>F85*AO85</f>
        <v>0</v>
      </c>
      <c r="AX85" s="25">
        <f>F85*AP85</f>
        <v>0</v>
      </c>
      <c r="AY85" s="27" t="s">
        <v>283</v>
      </c>
      <c r="AZ85" s="27" t="s">
        <v>284</v>
      </c>
      <c r="BA85" s="11" t="s">
        <v>56</v>
      </c>
      <c r="BC85" s="25">
        <f>AW85+AX85</f>
        <v>0</v>
      </c>
      <c r="BD85" s="25">
        <f>G85/(100-BE85)*100</f>
        <v>0</v>
      </c>
      <c r="BE85" s="25">
        <v>0</v>
      </c>
      <c r="BF85" s="25">
        <f>85</f>
        <v>85</v>
      </c>
      <c r="BH85" s="25">
        <f>F85*AO85</f>
        <v>0</v>
      </c>
      <c r="BI85" s="25">
        <f>F85*AP85</f>
        <v>0</v>
      </c>
      <c r="BJ85" s="25">
        <f>F85*G85</f>
        <v>0</v>
      </c>
      <c r="BK85" s="25"/>
      <c r="BL85" s="25"/>
      <c r="BO85" s="25">
        <f>F85*G85</f>
        <v>0</v>
      </c>
      <c r="BW85" s="25">
        <v>12</v>
      </c>
      <c r="BX85" s="5" t="s">
        <v>278</v>
      </c>
    </row>
    <row r="86" spans="1:76" x14ac:dyDescent="0.25">
      <c r="A86" s="2" t="s">
        <v>285</v>
      </c>
      <c r="B86" s="3" t="s">
        <v>286</v>
      </c>
      <c r="C86" s="79" t="s">
        <v>287</v>
      </c>
      <c r="D86" s="76"/>
      <c r="E86" s="3" t="s">
        <v>281</v>
      </c>
      <c r="F86" s="25">
        <v>1</v>
      </c>
      <c r="G86" s="69">
        <v>0</v>
      </c>
      <c r="H86" s="25">
        <f>F86*AO86</f>
        <v>0</v>
      </c>
      <c r="I86" s="25">
        <f>F86*AP86</f>
        <v>0</v>
      </c>
      <c r="J86" s="25">
        <f>F86*G86</f>
        <v>0</v>
      </c>
      <c r="K86" s="26" t="s">
        <v>53</v>
      </c>
      <c r="Z86" s="25">
        <f>IF(AQ86="5",BJ86,0)</f>
        <v>0</v>
      </c>
      <c r="AB86" s="25">
        <f>IF(AQ86="1",BH86,0)</f>
        <v>0</v>
      </c>
      <c r="AC86" s="25">
        <f>IF(AQ86="1",BI86,0)</f>
        <v>0</v>
      </c>
      <c r="AD86" s="25">
        <f>IF(AQ86="7",BH86,0)</f>
        <v>0</v>
      </c>
      <c r="AE86" s="25">
        <f>IF(AQ86="7",BI86,0)</f>
        <v>0</v>
      </c>
      <c r="AF86" s="25">
        <f>IF(AQ86="2",BH86,0)</f>
        <v>0</v>
      </c>
      <c r="AG86" s="25">
        <f>IF(AQ86="2",BI86,0)</f>
        <v>0</v>
      </c>
      <c r="AH86" s="25">
        <f>IF(AQ86="0",BJ86,0)</f>
        <v>0</v>
      </c>
      <c r="AI86" s="11" t="s">
        <v>46</v>
      </c>
      <c r="AJ86" s="25">
        <f>IF(AN86=0,J86,0)</f>
        <v>0</v>
      </c>
      <c r="AK86" s="25">
        <f>IF(AN86=12,J86,0)</f>
        <v>0</v>
      </c>
      <c r="AL86" s="25">
        <f>IF(AN86=21,J86,0)</f>
        <v>0</v>
      </c>
      <c r="AN86" s="25">
        <v>12</v>
      </c>
      <c r="AO86" s="25">
        <f>G86*0</f>
        <v>0</v>
      </c>
      <c r="AP86" s="25">
        <f>G86*(1-0)</f>
        <v>0</v>
      </c>
      <c r="AQ86" s="27" t="s">
        <v>282</v>
      </c>
      <c r="AV86" s="25">
        <f>AW86+AX86</f>
        <v>0</v>
      </c>
      <c r="AW86" s="25">
        <f>F86*AO86</f>
        <v>0</v>
      </c>
      <c r="AX86" s="25">
        <f>F86*AP86</f>
        <v>0</v>
      </c>
      <c r="AY86" s="27" t="s">
        <v>283</v>
      </c>
      <c r="AZ86" s="27" t="s">
        <v>284</v>
      </c>
      <c r="BA86" s="11" t="s">
        <v>56</v>
      </c>
      <c r="BC86" s="25">
        <f>AW86+AX86</f>
        <v>0</v>
      </c>
      <c r="BD86" s="25">
        <f>G86/(100-BE86)*100</f>
        <v>0</v>
      </c>
      <c r="BE86" s="25">
        <v>0</v>
      </c>
      <c r="BF86" s="25">
        <f>86</f>
        <v>86</v>
      </c>
      <c r="BH86" s="25">
        <f>F86*AO86</f>
        <v>0</v>
      </c>
      <c r="BI86" s="25">
        <f>F86*AP86</f>
        <v>0</v>
      </c>
      <c r="BJ86" s="25">
        <f>F86*G86</f>
        <v>0</v>
      </c>
      <c r="BK86" s="25"/>
      <c r="BL86" s="25"/>
      <c r="BO86" s="25">
        <f>F86*G86</f>
        <v>0</v>
      </c>
      <c r="BW86" s="25">
        <v>12</v>
      </c>
      <c r="BX86" s="5" t="s">
        <v>287</v>
      </c>
    </row>
    <row r="87" spans="1:76" x14ac:dyDescent="0.25">
      <c r="A87" s="2" t="s">
        <v>288</v>
      </c>
      <c r="B87" s="3" t="s">
        <v>289</v>
      </c>
      <c r="C87" s="79" t="s">
        <v>290</v>
      </c>
      <c r="D87" s="76"/>
      <c r="E87" s="3" t="s">
        <v>281</v>
      </c>
      <c r="F87" s="25">
        <v>1</v>
      </c>
      <c r="G87" s="69">
        <v>0</v>
      </c>
      <c r="H87" s="25">
        <f>F87*AO87</f>
        <v>0</v>
      </c>
      <c r="I87" s="25">
        <f>F87*AP87</f>
        <v>0</v>
      </c>
      <c r="J87" s="25">
        <f>F87*G87</f>
        <v>0</v>
      </c>
      <c r="K87" s="26" t="s">
        <v>53</v>
      </c>
      <c r="Z87" s="25">
        <f>IF(AQ87="5",BJ87,0)</f>
        <v>0</v>
      </c>
      <c r="AB87" s="25">
        <f>IF(AQ87="1",BH87,0)</f>
        <v>0</v>
      </c>
      <c r="AC87" s="25">
        <f>IF(AQ87="1",BI87,0)</f>
        <v>0</v>
      </c>
      <c r="AD87" s="25">
        <f>IF(AQ87="7",BH87,0)</f>
        <v>0</v>
      </c>
      <c r="AE87" s="25">
        <f>IF(AQ87="7",BI87,0)</f>
        <v>0</v>
      </c>
      <c r="AF87" s="25">
        <f>IF(AQ87="2",BH87,0)</f>
        <v>0</v>
      </c>
      <c r="AG87" s="25">
        <f>IF(AQ87="2",BI87,0)</f>
        <v>0</v>
      </c>
      <c r="AH87" s="25">
        <f>IF(AQ87="0",BJ87,0)</f>
        <v>0</v>
      </c>
      <c r="AI87" s="11" t="s">
        <v>46</v>
      </c>
      <c r="AJ87" s="25">
        <f>IF(AN87=0,J87,0)</f>
        <v>0</v>
      </c>
      <c r="AK87" s="25">
        <f>IF(AN87=12,J87,0)</f>
        <v>0</v>
      </c>
      <c r="AL87" s="25">
        <f>IF(AN87=21,J87,0)</f>
        <v>0</v>
      </c>
      <c r="AN87" s="25">
        <v>12</v>
      </c>
      <c r="AO87" s="25">
        <f>G87*0</f>
        <v>0</v>
      </c>
      <c r="AP87" s="25">
        <f>G87*(1-0)</f>
        <v>0</v>
      </c>
      <c r="AQ87" s="27" t="s">
        <v>282</v>
      </c>
      <c r="AV87" s="25">
        <f>AW87+AX87</f>
        <v>0</v>
      </c>
      <c r="AW87" s="25">
        <f>F87*AO87</f>
        <v>0</v>
      </c>
      <c r="AX87" s="25">
        <f>F87*AP87</f>
        <v>0</v>
      </c>
      <c r="AY87" s="27" t="s">
        <v>283</v>
      </c>
      <c r="AZ87" s="27" t="s">
        <v>284</v>
      </c>
      <c r="BA87" s="11" t="s">
        <v>56</v>
      </c>
      <c r="BC87" s="25">
        <f>AW87+AX87</f>
        <v>0</v>
      </c>
      <c r="BD87" s="25">
        <f>G87/(100-BE87)*100</f>
        <v>0</v>
      </c>
      <c r="BE87" s="25">
        <v>0</v>
      </c>
      <c r="BF87" s="25">
        <f>87</f>
        <v>87</v>
      </c>
      <c r="BH87" s="25">
        <f>F87*AO87</f>
        <v>0</v>
      </c>
      <c r="BI87" s="25">
        <f>F87*AP87</f>
        <v>0</v>
      </c>
      <c r="BJ87" s="25">
        <f>F87*G87</f>
        <v>0</v>
      </c>
      <c r="BK87" s="25"/>
      <c r="BL87" s="25"/>
      <c r="BO87" s="25">
        <f>F87*G87</f>
        <v>0</v>
      </c>
      <c r="BW87" s="25">
        <v>12</v>
      </c>
      <c r="BX87" s="5" t="s">
        <v>290</v>
      </c>
    </row>
    <row r="88" spans="1:76" x14ac:dyDescent="0.25">
      <c r="A88" s="32" t="s">
        <v>291</v>
      </c>
      <c r="B88" s="33" t="s">
        <v>292</v>
      </c>
      <c r="C88" s="140" t="s">
        <v>293</v>
      </c>
      <c r="D88" s="86"/>
      <c r="E88" s="33" t="s">
        <v>281</v>
      </c>
      <c r="F88" s="34">
        <v>1</v>
      </c>
      <c r="G88" s="70">
        <v>0</v>
      </c>
      <c r="H88" s="34">
        <f>F88*AO88</f>
        <v>0</v>
      </c>
      <c r="I88" s="34">
        <f>F88*AP88</f>
        <v>0</v>
      </c>
      <c r="J88" s="34">
        <f>F88*G88</f>
        <v>0</v>
      </c>
      <c r="K88" s="35" t="s">
        <v>53</v>
      </c>
      <c r="Z88" s="25">
        <f>IF(AQ88="5",BJ88,0)</f>
        <v>0</v>
      </c>
      <c r="AB88" s="25">
        <f>IF(AQ88="1",BH88,0)</f>
        <v>0</v>
      </c>
      <c r="AC88" s="25">
        <f>IF(AQ88="1",BI88,0)</f>
        <v>0</v>
      </c>
      <c r="AD88" s="25">
        <f>IF(AQ88="7",BH88,0)</f>
        <v>0</v>
      </c>
      <c r="AE88" s="25">
        <f>IF(AQ88="7",BI88,0)</f>
        <v>0</v>
      </c>
      <c r="AF88" s="25">
        <f>IF(AQ88="2",BH88,0)</f>
        <v>0</v>
      </c>
      <c r="AG88" s="25">
        <f>IF(AQ88="2",BI88,0)</f>
        <v>0</v>
      </c>
      <c r="AH88" s="25">
        <f>IF(AQ88="0",BJ88,0)</f>
        <v>0</v>
      </c>
      <c r="AI88" s="11" t="s">
        <v>46</v>
      </c>
      <c r="AJ88" s="25">
        <f>IF(AN88=0,J88,0)</f>
        <v>0</v>
      </c>
      <c r="AK88" s="25">
        <f>IF(AN88=12,J88,0)</f>
        <v>0</v>
      </c>
      <c r="AL88" s="25">
        <f>IF(AN88=21,J88,0)</f>
        <v>0</v>
      </c>
      <c r="AN88" s="25">
        <v>12</v>
      </c>
      <c r="AO88" s="25">
        <f>G88*0</f>
        <v>0</v>
      </c>
      <c r="AP88" s="25">
        <f>G88*(1-0)</f>
        <v>0</v>
      </c>
      <c r="AQ88" s="27" t="s">
        <v>282</v>
      </c>
      <c r="AV88" s="25">
        <f>AW88+AX88</f>
        <v>0</v>
      </c>
      <c r="AW88" s="25">
        <f>F88*AO88</f>
        <v>0</v>
      </c>
      <c r="AX88" s="25">
        <f>F88*AP88</f>
        <v>0</v>
      </c>
      <c r="AY88" s="27" t="s">
        <v>283</v>
      </c>
      <c r="AZ88" s="27" t="s">
        <v>284</v>
      </c>
      <c r="BA88" s="11" t="s">
        <v>56</v>
      </c>
      <c r="BC88" s="25">
        <f>AW88+AX88</f>
        <v>0</v>
      </c>
      <c r="BD88" s="25">
        <f>G88/(100-BE88)*100</f>
        <v>0</v>
      </c>
      <c r="BE88" s="25">
        <v>0</v>
      </c>
      <c r="BF88" s="25">
        <f>88</f>
        <v>88</v>
      </c>
      <c r="BH88" s="25">
        <f>F88*AO88</f>
        <v>0</v>
      </c>
      <c r="BI88" s="25">
        <f>F88*AP88</f>
        <v>0</v>
      </c>
      <c r="BJ88" s="25">
        <f>F88*G88</f>
        <v>0</v>
      </c>
      <c r="BK88" s="25"/>
      <c r="BL88" s="25"/>
      <c r="BO88" s="25">
        <f>F88*G88</f>
        <v>0</v>
      </c>
      <c r="BW88" s="25">
        <v>12</v>
      </c>
      <c r="BX88" s="5" t="s">
        <v>293</v>
      </c>
    </row>
    <row r="89" spans="1:76" x14ac:dyDescent="0.25">
      <c r="H89" s="141" t="s">
        <v>294</v>
      </c>
      <c r="I89" s="141"/>
      <c r="J89" s="36">
        <f>ROUND(J12+J14+J20+J24+J36+J40+J45+J53+J56+J59+J65+J67+J71+J73+J75+J84,0)</f>
        <v>0</v>
      </c>
    </row>
    <row r="90" spans="1:76" x14ac:dyDescent="0.25">
      <c r="A90" s="37" t="s">
        <v>295</v>
      </c>
    </row>
    <row r="91" spans="1:76" ht="12.75" customHeight="1" x14ac:dyDescent="0.25">
      <c r="A91" s="79" t="s">
        <v>46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</row>
  </sheetData>
  <mergeCells count="107">
    <mergeCell ref="A91:K91"/>
    <mergeCell ref="C85:D85"/>
    <mergeCell ref="C86:D86"/>
    <mergeCell ref="C87:D87"/>
    <mergeCell ref="C88:D88"/>
    <mergeCell ref="H89:I89"/>
    <mergeCell ref="C80:D80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70:D70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7:D27"/>
    <mergeCell ref="C28:D28"/>
    <mergeCell ref="C29:D29"/>
    <mergeCell ref="C20:D20"/>
    <mergeCell ref="C21:D21"/>
    <mergeCell ref="C22:D22"/>
    <mergeCell ref="C23:D23"/>
    <mergeCell ref="C24:D24"/>
    <mergeCell ref="C35:D35"/>
    <mergeCell ref="C18:D18"/>
    <mergeCell ref="C19:D19"/>
    <mergeCell ref="C11:D11"/>
    <mergeCell ref="H10:J10"/>
    <mergeCell ref="C12:D12"/>
    <mergeCell ref="C13:D13"/>
    <mergeCell ref="C14:D14"/>
    <mergeCell ref="C25:D25"/>
    <mergeCell ref="C26:D26"/>
    <mergeCell ref="C10:D10"/>
    <mergeCell ref="C8:D9"/>
    <mergeCell ref="G2:G3"/>
    <mergeCell ref="G4:G5"/>
    <mergeCell ref="G6:G7"/>
    <mergeCell ref="G8:G9"/>
    <mergeCell ref="C15:D15"/>
    <mergeCell ref="C16:D16"/>
    <mergeCell ref="C17:D17"/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I2:K3"/>
    <mergeCell ref="I4:K5"/>
    <mergeCell ref="I6:K7"/>
    <mergeCell ref="I8:K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71" t="s">
        <v>276</v>
      </c>
      <c r="B1" s="72"/>
      <c r="C1" s="72"/>
      <c r="D1" s="72"/>
      <c r="E1" s="72"/>
      <c r="F1" s="72"/>
      <c r="G1" s="72"/>
      <c r="H1" s="72"/>
      <c r="I1" s="72"/>
    </row>
    <row r="2" spans="1:9" x14ac:dyDescent="0.25">
      <c r="A2" s="73" t="s">
        <v>1</v>
      </c>
      <c r="B2" s="74"/>
      <c r="C2" s="83" t="str">
        <f>'Stavební rozpočet'!C2</f>
        <v>Oprava střechy bloku B2</v>
      </c>
      <c r="D2" s="84"/>
      <c r="E2" s="78" t="s">
        <v>5</v>
      </c>
      <c r="F2" s="78" t="str">
        <f>'Stavební rozpočet'!I2</f>
        <v> </v>
      </c>
      <c r="G2" s="74"/>
      <c r="H2" s="78" t="s">
        <v>304</v>
      </c>
      <c r="I2" s="80" t="s">
        <v>46</v>
      </c>
    </row>
    <row r="3" spans="1:9" ht="15" customHeight="1" x14ac:dyDescent="0.25">
      <c r="A3" s="75"/>
      <c r="B3" s="76"/>
      <c r="C3" s="85"/>
      <c r="D3" s="85"/>
      <c r="E3" s="76"/>
      <c r="F3" s="76"/>
      <c r="G3" s="76"/>
      <c r="H3" s="76"/>
      <c r="I3" s="81"/>
    </row>
    <row r="4" spans="1:9" x14ac:dyDescent="0.25">
      <c r="A4" s="77" t="s">
        <v>7</v>
      </c>
      <c r="B4" s="76"/>
      <c r="C4" s="79" t="str">
        <f>'Stavební rozpočet'!C4</f>
        <v xml:space="preserve"> </v>
      </c>
      <c r="D4" s="76"/>
      <c r="E4" s="79" t="s">
        <v>9</v>
      </c>
      <c r="F4" s="79" t="str">
        <f>'Stavební rozpočet'!I4</f>
        <v> </v>
      </c>
      <c r="G4" s="76"/>
      <c r="H4" s="79" t="s">
        <v>304</v>
      </c>
      <c r="I4" s="81" t="s">
        <v>46</v>
      </c>
    </row>
    <row r="5" spans="1:9" ht="15" customHeight="1" x14ac:dyDescent="0.25">
      <c r="A5" s="75"/>
      <c r="B5" s="76"/>
      <c r="C5" s="76"/>
      <c r="D5" s="76"/>
      <c r="E5" s="76"/>
      <c r="F5" s="76"/>
      <c r="G5" s="76"/>
      <c r="H5" s="76"/>
      <c r="I5" s="81"/>
    </row>
    <row r="6" spans="1:9" x14ac:dyDescent="0.25">
      <c r="A6" s="77" t="s">
        <v>10</v>
      </c>
      <c r="B6" s="76"/>
      <c r="C6" s="79" t="str">
        <f>'Stavební rozpočet'!C6</f>
        <v>Centrum sociálních služeb pro seniory Pohoda, Okružní 1779/16, 792 01 Bruntál</v>
      </c>
      <c r="D6" s="76"/>
      <c r="E6" s="79" t="s">
        <v>13</v>
      </c>
      <c r="F6" s="79" t="str">
        <f>'Stavební rozpočet'!I6</f>
        <v> </v>
      </c>
      <c r="G6" s="76"/>
      <c r="H6" s="79" t="s">
        <v>304</v>
      </c>
      <c r="I6" s="81" t="s">
        <v>46</v>
      </c>
    </row>
    <row r="7" spans="1:9" ht="25.5" customHeight="1" x14ac:dyDescent="0.25">
      <c r="A7" s="75"/>
      <c r="B7" s="76"/>
      <c r="C7" s="76"/>
      <c r="D7" s="76"/>
      <c r="E7" s="76"/>
      <c r="F7" s="76"/>
      <c r="G7" s="76"/>
      <c r="H7" s="76"/>
      <c r="I7" s="81"/>
    </row>
    <row r="8" spans="1:9" x14ac:dyDescent="0.25">
      <c r="A8" s="77" t="s">
        <v>8</v>
      </c>
      <c r="B8" s="76"/>
      <c r="C8" s="79">
        <f>'Stavební rozpočet'!G4</f>
        <v>0</v>
      </c>
      <c r="D8" s="76"/>
      <c r="E8" s="79" t="s">
        <v>12</v>
      </c>
      <c r="F8" s="79" t="str">
        <f>'Stavební rozpočet'!G6</f>
        <v xml:space="preserve"> </v>
      </c>
      <c r="G8" s="76"/>
      <c r="H8" s="76" t="s">
        <v>305</v>
      </c>
      <c r="I8" s="82">
        <v>60</v>
      </c>
    </row>
    <row r="9" spans="1:9" x14ac:dyDescent="0.25">
      <c r="A9" s="75"/>
      <c r="B9" s="76"/>
      <c r="C9" s="76"/>
      <c r="D9" s="76"/>
      <c r="E9" s="76"/>
      <c r="F9" s="76"/>
      <c r="G9" s="76"/>
      <c r="H9" s="76"/>
      <c r="I9" s="81"/>
    </row>
    <row r="10" spans="1:9" x14ac:dyDescent="0.25">
      <c r="A10" s="77" t="s">
        <v>14</v>
      </c>
      <c r="B10" s="76"/>
      <c r="C10" s="79" t="str">
        <f>'Stavební rozpočet'!C8</f>
        <v xml:space="preserve"> </v>
      </c>
      <c r="D10" s="76"/>
      <c r="E10" s="79" t="s">
        <v>16</v>
      </c>
      <c r="F10" s="79" t="str">
        <f>'Stavební rozpočet'!I8</f>
        <v> </v>
      </c>
      <c r="G10" s="76"/>
      <c r="H10" s="76" t="s">
        <v>306</v>
      </c>
      <c r="I10" s="87">
        <f>'Stavební rozpočet'!G8</f>
        <v>0</v>
      </c>
    </row>
    <row r="11" spans="1:9" x14ac:dyDescent="0.25">
      <c r="A11" s="92"/>
      <c r="B11" s="86"/>
      <c r="C11" s="86"/>
      <c r="D11" s="86"/>
      <c r="E11" s="86"/>
      <c r="F11" s="86"/>
      <c r="G11" s="86"/>
      <c r="H11" s="86"/>
      <c r="I11" s="88"/>
    </row>
    <row r="13" spans="1:9" ht="15.75" x14ac:dyDescent="0.25">
      <c r="A13" s="142" t="s">
        <v>346</v>
      </c>
      <c r="B13" s="142"/>
      <c r="C13" s="142"/>
      <c r="D13" s="142"/>
      <c r="E13" s="142"/>
    </row>
    <row r="14" spans="1:9" x14ac:dyDescent="0.25">
      <c r="A14" s="143" t="s">
        <v>347</v>
      </c>
      <c r="B14" s="144"/>
      <c r="C14" s="144"/>
      <c r="D14" s="144"/>
      <c r="E14" s="145"/>
      <c r="F14" s="61" t="s">
        <v>348</v>
      </c>
      <c r="G14" s="61" t="s">
        <v>126</v>
      </c>
      <c r="H14" s="61" t="s">
        <v>349</v>
      </c>
      <c r="I14" s="61" t="s">
        <v>348</v>
      </c>
    </row>
    <row r="15" spans="1:9" x14ac:dyDescent="0.25">
      <c r="A15" s="146" t="s">
        <v>316</v>
      </c>
      <c r="B15" s="147"/>
      <c r="C15" s="147"/>
      <c r="D15" s="147"/>
      <c r="E15" s="148"/>
      <c r="F15" s="62">
        <v>0</v>
      </c>
      <c r="G15" s="63" t="s">
        <v>46</v>
      </c>
      <c r="H15" s="63" t="s">
        <v>46</v>
      </c>
      <c r="I15" s="62">
        <f>F15</f>
        <v>0</v>
      </c>
    </row>
    <row r="16" spans="1:9" x14ac:dyDescent="0.25">
      <c r="A16" s="146" t="s">
        <v>317</v>
      </c>
      <c r="B16" s="147"/>
      <c r="C16" s="147"/>
      <c r="D16" s="147"/>
      <c r="E16" s="148"/>
      <c r="F16" s="62">
        <v>0</v>
      </c>
      <c r="G16" s="63" t="s">
        <v>46</v>
      </c>
      <c r="H16" s="63" t="s">
        <v>46</v>
      </c>
      <c r="I16" s="62">
        <f>F16</f>
        <v>0</v>
      </c>
    </row>
    <row r="17" spans="1:9" x14ac:dyDescent="0.25">
      <c r="A17" s="149" t="s">
        <v>320</v>
      </c>
      <c r="B17" s="150"/>
      <c r="C17" s="150"/>
      <c r="D17" s="150"/>
      <c r="E17" s="151"/>
      <c r="F17" s="64">
        <v>0</v>
      </c>
      <c r="G17" s="65" t="s">
        <v>46</v>
      </c>
      <c r="H17" s="65" t="s">
        <v>46</v>
      </c>
      <c r="I17" s="64">
        <f>F17</f>
        <v>0</v>
      </c>
    </row>
    <row r="18" spans="1:9" x14ac:dyDescent="0.25">
      <c r="A18" s="152" t="s">
        <v>350</v>
      </c>
      <c r="B18" s="153"/>
      <c r="C18" s="153"/>
      <c r="D18" s="153"/>
      <c r="E18" s="154"/>
      <c r="F18" s="66" t="s">
        <v>46</v>
      </c>
      <c r="G18" s="67" t="s">
        <v>46</v>
      </c>
      <c r="H18" s="67" t="s">
        <v>46</v>
      </c>
      <c r="I18" s="68">
        <f>SUM(I15:I17)</f>
        <v>0</v>
      </c>
    </row>
    <row r="20" spans="1:9" x14ac:dyDescent="0.25">
      <c r="A20" s="143" t="s">
        <v>313</v>
      </c>
      <c r="B20" s="144"/>
      <c r="C20" s="144"/>
      <c r="D20" s="144"/>
      <c r="E20" s="145"/>
      <c r="F20" s="61" t="s">
        <v>348</v>
      </c>
      <c r="G20" s="61" t="s">
        <v>126</v>
      </c>
      <c r="H20" s="61" t="s">
        <v>349</v>
      </c>
      <c r="I20" s="61" t="s">
        <v>348</v>
      </c>
    </row>
    <row r="21" spans="1:9" x14ac:dyDescent="0.25">
      <c r="A21" s="146" t="s">
        <v>278</v>
      </c>
      <c r="B21" s="147"/>
      <c r="C21" s="147"/>
      <c r="D21" s="147"/>
      <c r="E21" s="148"/>
      <c r="F21" s="62">
        <v>0</v>
      </c>
      <c r="G21" s="63" t="s">
        <v>46</v>
      </c>
      <c r="H21" s="63" t="s">
        <v>46</v>
      </c>
      <c r="I21" s="62">
        <f t="shared" ref="I21:I26" si="0">F21</f>
        <v>0</v>
      </c>
    </row>
    <row r="22" spans="1:9" x14ac:dyDescent="0.25">
      <c r="A22" s="146" t="s">
        <v>318</v>
      </c>
      <c r="B22" s="147"/>
      <c r="C22" s="147"/>
      <c r="D22" s="147"/>
      <c r="E22" s="148"/>
      <c r="F22" s="62">
        <v>0</v>
      </c>
      <c r="G22" s="63" t="s">
        <v>46</v>
      </c>
      <c r="H22" s="63" t="s">
        <v>46</v>
      </c>
      <c r="I22" s="62">
        <f t="shared" si="0"/>
        <v>0</v>
      </c>
    </row>
    <row r="23" spans="1:9" x14ac:dyDescent="0.25">
      <c r="A23" s="146" t="s">
        <v>321</v>
      </c>
      <c r="B23" s="147"/>
      <c r="C23" s="147"/>
      <c r="D23" s="147"/>
      <c r="E23" s="148"/>
      <c r="F23" s="62">
        <v>0</v>
      </c>
      <c r="G23" s="63" t="s">
        <v>46</v>
      </c>
      <c r="H23" s="63" t="s">
        <v>46</v>
      </c>
      <c r="I23" s="62">
        <f t="shared" si="0"/>
        <v>0</v>
      </c>
    </row>
    <row r="24" spans="1:9" x14ac:dyDescent="0.25">
      <c r="A24" s="146" t="s">
        <v>322</v>
      </c>
      <c r="B24" s="147"/>
      <c r="C24" s="147"/>
      <c r="D24" s="147"/>
      <c r="E24" s="148"/>
      <c r="F24" s="62">
        <v>0</v>
      </c>
      <c r="G24" s="63" t="s">
        <v>46</v>
      </c>
      <c r="H24" s="63" t="s">
        <v>46</v>
      </c>
      <c r="I24" s="62">
        <f t="shared" si="0"/>
        <v>0</v>
      </c>
    </row>
    <row r="25" spans="1:9" x14ac:dyDescent="0.25">
      <c r="A25" s="146" t="s">
        <v>324</v>
      </c>
      <c r="B25" s="147"/>
      <c r="C25" s="147"/>
      <c r="D25" s="147"/>
      <c r="E25" s="148"/>
      <c r="F25" s="62">
        <v>0</v>
      </c>
      <c r="G25" s="63" t="s">
        <v>46</v>
      </c>
      <c r="H25" s="63" t="s">
        <v>46</v>
      </c>
      <c r="I25" s="62">
        <f t="shared" si="0"/>
        <v>0</v>
      </c>
    </row>
    <row r="26" spans="1:9" x14ac:dyDescent="0.25">
      <c r="A26" s="149" t="s">
        <v>325</v>
      </c>
      <c r="B26" s="150"/>
      <c r="C26" s="150"/>
      <c r="D26" s="150"/>
      <c r="E26" s="151"/>
      <c r="F26" s="64">
        <v>0</v>
      </c>
      <c r="G26" s="65" t="s">
        <v>46</v>
      </c>
      <c r="H26" s="65" t="s">
        <v>46</v>
      </c>
      <c r="I26" s="64">
        <f t="shared" si="0"/>
        <v>0</v>
      </c>
    </row>
    <row r="27" spans="1:9" x14ac:dyDescent="0.25">
      <c r="A27" s="152" t="s">
        <v>351</v>
      </c>
      <c r="B27" s="153"/>
      <c r="C27" s="153"/>
      <c r="D27" s="153"/>
      <c r="E27" s="154"/>
      <c r="F27" s="66" t="s">
        <v>46</v>
      </c>
      <c r="G27" s="67" t="s">
        <v>46</v>
      </c>
      <c r="H27" s="67" t="s">
        <v>46</v>
      </c>
      <c r="I27" s="68">
        <f>SUM(I21:I26)</f>
        <v>0</v>
      </c>
    </row>
    <row r="29" spans="1:9" ht="15.75" x14ac:dyDescent="0.25">
      <c r="A29" s="155" t="s">
        <v>352</v>
      </c>
      <c r="B29" s="156"/>
      <c r="C29" s="156"/>
      <c r="D29" s="156"/>
      <c r="E29" s="157"/>
      <c r="F29" s="158">
        <f>I18+I27</f>
        <v>0</v>
      </c>
      <c r="G29" s="159"/>
      <c r="H29" s="159"/>
      <c r="I29" s="160"/>
    </row>
    <row r="33" spans="1:9" ht="15.75" x14ac:dyDescent="0.25">
      <c r="A33" s="142" t="s">
        <v>353</v>
      </c>
      <c r="B33" s="142"/>
      <c r="C33" s="142"/>
      <c r="D33" s="142"/>
      <c r="E33" s="142"/>
    </row>
    <row r="34" spans="1:9" x14ac:dyDescent="0.25">
      <c r="A34" s="143" t="s">
        <v>354</v>
      </c>
      <c r="B34" s="144"/>
      <c r="C34" s="144"/>
      <c r="D34" s="144"/>
      <c r="E34" s="145"/>
      <c r="F34" s="61" t="s">
        <v>348</v>
      </c>
      <c r="G34" s="61" t="s">
        <v>126</v>
      </c>
      <c r="H34" s="61" t="s">
        <v>349</v>
      </c>
      <c r="I34" s="61" t="s">
        <v>348</v>
      </c>
    </row>
    <row r="35" spans="1:9" x14ac:dyDescent="0.25">
      <c r="A35" s="146" t="s">
        <v>355</v>
      </c>
      <c r="B35" s="147"/>
      <c r="C35" s="147"/>
      <c r="D35" s="147"/>
      <c r="E35" s="148"/>
      <c r="F35" s="62">
        <f>SUM('Stavební rozpočet'!BM12:BM88)</f>
        <v>0</v>
      </c>
      <c r="G35" s="63" t="s">
        <v>46</v>
      </c>
      <c r="H35" s="63" t="s">
        <v>46</v>
      </c>
      <c r="I35" s="62">
        <f t="shared" ref="I35:I44" si="1">F35</f>
        <v>0</v>
      </c>
    </row>
    <row r="36" spans="1:9" x14ac:dyDescent="0.25">
      <c r="A36" s="146" t="s">
        <v>356</v>
      </c>
      <c r="B36" s="147"/>
      <c r="C36" s="147"/>
      <c r="D36" s="147"/>
      <c r="E36" s="148"/>
      <c r="F36" s="62">
        <f>SUM('Stavební rozpočet'!BN12:BN88)</f>
        <v>0</v>
      </c>
      <c r="G36" s="63" t="s">
        <v>46</v>
      </c>
      <c r="H36" s="63" t="s">
        <v>46</v>
      </c>
      <c r="I36" s="62">
        <f t="shared" si="1"/>
        <v>0</v>
      </c>
    </row>
    <row r="37" spans="1:9" x14ac:dyDescent="0.25">
      <c r="A37" s="146" t="s">
        <v>278</v>
      </c>
      <c r="B37" s="147"/>
      <c r="C37" s="147"/>
      <c r="D37" s="147"/>
      <c r="E37" s="148"/>
      <c r="F37" s="62">
        <f>SUM('Stavební rozpočet'!BO12:BO88)</f>
        <v>0</v>
      </c>
      <c r="G37" s="63" t="s">
        <v>46</v>
      </c>
      <c r="H37" s="63" t="s">
        <v>46</v>
      </c>
      <c r="I37" s="62">
        <f t="shared" si="1"/>
        <v>0</v>
      </c>
    </row>
    <row r="38" spans="1:9" x14ac:dyDescent="0.25">
      <c r="A38" s="146" t="s">
        <v>357</v>
      </c>
      <c r="B38" s="147"/>
      <c r="C38" s="147"/>
      <c r="D38" s="147"/>
      <c r="E38" s="148"/>
      <c r="F38" s="62">
        <f>SUM('Stavební rozpočet'!BP12:BP88)</f>
        <v>0</v>
      </c>
      <c r="G38" s="63" t="s">
        <v>46</v>
      </c>
      <c r="H38" s="63" t="s">
        <v>46</v>
      </c>
      <c r="I38" s="62">
        <f t="shared" si="1"/>
        <v>0</v>
      </c>
    </row>
    <row r="39" spans="1:9" x14ac:dyDescent="0.25">
      <c r="A39" s="146" t="s">
        <v>358</v>
      </c>
      <c r="B39" s="147"/>
      <c r="C39" s="147"/>
      <c r="D39" s="147"/>
      <c r="E39" s="148"/>
      <c r="F39" s="62">
        <f>SUM('Stavební rozpočet'!BQ12:BQ88)</f>
        <v>0</v>
      </c>
      <c r="G39" s="63" t="s">
        <v>46</v>
      </c>
      <c r="H39" s="63" t="s">
        <v>46</v>
      </c>
      <c r="I39" s="62">
        <f t="shared" si="1"/>
        <v>0</v>
      </c>
    </row>
    <row r="40" spans="1:9" x14ac:dyDescent="0.25">
      <c r="A40" s="146" t="s">
        <v>321</v>
      </c>
      <c r="B40" s="147"/>
      <c r="C40" s="147"/>
      <c r="D40" s="147"/>
      <c r="E40" s="148"/>
      <c r="F40" s="62">
        <f>SUM('Stavební rozpočet'!BR12:BR88)</f>
        <v>0</v>
      </c>
      <c r="G40" s="63" t="s">
        <v>46</v>
      </c>
      <c r="H40" s="63" t="s">
        <v>46</v>
      </c>
      <c r="I40" s="62">
        <f t="shared" si="1"/>
        <v>0</v>
      </c>
    </row>
    <row r="41" spans="1:9" x14ac:dyDescent="0.25">
      <c r="A41" s="146" t="s">
        <v>322</v>
      </c>
      <c r="B41" s="147"/>
      <c r="C41" s="147"/>
      <c r="D41" s="147"/>
      <c r="E41" s="148"/>
      <c r="F41" s="62">
        <f>SUM('Stavební rozpočet'!BS12:BS88)</f>
        <v>0</v>
      </c>
      <c r="G41" s="63" t="s">
        <v>46</v>
      </c>
      <c r="H41" s="63" t="s">
        <v>46</v>
      </c>
      <c r="I41" s="62">
        <f t="shared" si="1"/>
        <v>0</v>
      </c>
    </row>
    <row r="42" spans="1:9" x14ac:dyDescent="0.25">
      <c r="A42" s="146" t="s">
        <v>359</v>
      </c>
      <c r="B42" s="147"/>
      <c r="C42" s="147"/>
      <c r="D42" s="147"/>
      <c r="E42" s="148"/>
      <c r="F42" s="62">
        <f>SUM('Stavební rozpočet'!BT12:BT88)</f>
        <v>0</v>
      </c>
      <c r="G42" s="63" t="s">
        <v>46</v>
      </c>
      <c r="H42" s="63" t="s">
        <v>46</v>
      </c>
      <c r="I42" s="62">
        <f t="shared" si="1"/>
        <v>0</v>
      </c>
    </row>
    <row r="43" spans="1:9" x14ac:dyDescent="0.25">
      <c r="A43" s="146" t="s">
        <v>360</v>
      </c>
      <c r="B43" s="147"/>
      <c r="C43" s="147"/>
      <c r="D43" s="147"/>
      <c r="E43" s="148"/>
      <c r="F43" s="62">
        <f>SUM('Stavební rozpočet'!BU12:BU88)</f>
        <v>0</v>
      </c>
      <c r="G43" s="63" t="s">
        <v>46</v>
      </c>
      <c r="H43" s="63" t="s">
        <v>46</v>
      </c>
      <c r="I43" s="62">
        <f t="shared" si="1"/>
        <v>0</v>
      </c>
    </row>
    <row r="44" spans="1:9" x14ac:dyDescent="0.25">
      <c r="A44" s="149" t="s">
        <v>361</v>
      </c>
      <c r="B44" s="150"/>
      <c r="C44" s="150"/>
      <c r="D44" s="150"/>
      <c r="E44" s="151"/>
      <c r="F44" s="64">
        <f>SUM('Stavební rozpočet'!BV12:BV88)</f>
        <v>0</v>
      </c>
      <c r="G44" s="65" t="s">
        <v>46</v>
      </c>
      <c r="H44" s="65" t="s">
        <v>46</v>
      </c>
      <c r="I44" s="64">
        <f t="shared" si="1"/>
        <v>0</v>
      </c>
    </row>
    <row r="45" spans="1:9" x14ac:dyDescent="0.25">
      <c r="A45" s="152" t="s">
        <v>362</v>
      </c>
      <c r="B45" s="153"/>
      <c r="C45" s="153"/>
      <c r="D45" s="153"/>
      <c r="E45" s="154"/>
      <c r="F45" s="66" t="s">
        <v>46</v>
      </c>
      <c r="G45" s="67" t="s">
        <v>46</v>
      </c>
      <c r="H45" s="67" t="s">
        <v>46</v>
      </c>
      <c r="I45" s="68">
        <f>SUM(I35:I44)</f>
        <v>0</v>
      </c>
    </row>
  </sheetData>
  <mergeCells count="60">
    <mergeCell ref="A41:E41"/>
    <mergeCell ref="A42:E42"/>
    <mergeCell ref="A43:E43"/>
    <mergeCell ref="A44:E44"/>
    <mergeCell ref="A45:E45"/>
    <mergeCell ref="A36:E36"/>
    <mergeCell ref="A37:E37"/>
    <mergeCell ref="A38:E38"/>
    <mergeCell ref="A39:E39"/>
    <mergeCell ref="A40:E40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A10:B11"/>
    <mergeCell ref="C2:D3"/>
    <mergeCell ref="C4:D5"/>
    <mergeCell ref="C6:D7"/>
    <mergeCell ref="C8:D9"/>
    <mergeCell ref="C10:D11"/>
    <mergeCell ref="E8:E9"/>
    <mergeCell ref="E10:E11"/>
    <mergeCell ref="F2:G3"/>
    <mergeCell ref="F4:G5"/>
    <mergeCell ref="F6:G7"/>
    <mergeCell ref="F8:G9"/>
    <mergeCell ref="F10:G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Krycí list rozpočtu</vt:lpstr>
      <vt:lpstr>Stavební rozpočet - součet</vt:lpstr>
      <vt:lpstr>Stavební rozpočet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Vaclav Meca</cp:lastModifiedBy>
  <dcterms:created xsi:type="dcterms:W3CDTF">2021-06-10T20:06:38Z</dcterms:created>
  <dcterms:modified xsi:type="dcterms:W3CDTF">2025-02-21T10:16:40Z</dcterms:modified>
</cp:coreProperties>
</file>